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5" yWindow="7290" windowWidth="28830" windowHeight="7350" activeTab="1"/>
  </bookViews>
  <sheets>
    <sheet name="Tabelle3" sheetId="17" r:id="rId1"/>
    <sheet name="Tabelle1" sheetId="1" r:id="rId2"/>
    <sheet name="Tabelle2" sheetId="2" r:id="rId3"/>
  </sheets>
  <definedNames>
    <definedName name="_g">Tabelle1!$C$37</definedName>
    <definedName name="_M">Tabelle1!$C$57</definedName>
    <definedName name="_V">Tabelle1!$C$58</definedName>
    <definedName name="gf_g">Tabelle1!$J$71</definedName>
    <definedName name="gf_p">Tabelle1!$J$72</definedName>
  </definedNames>
  <calcPr calcId="145621"/>
</workbook>
</file>

<file path=xl/calcChain.xml><?xml version="1.0" encoding="utf-8"?>
<calcChain xmlns="http://schemas.openxmlformats.org/spreadsheetml/2006/main">
  <c r="AT121" i="1" l="1"/>
  <c r="AT122" i="1" l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41" i="1"/>
  <c r="AT142" i="1"/>
  <c r="AT143" i="1"/>
  <c r="AT144" i="1"/>
  <c r="AT145" i="1"/>
  <c r="AT146" i="1"/>
  <c r="AT147" i="1"/>
  <c r="AT148" i="1"/>
  <c r="AT149" i="1"/>
  <c r="AT120" i="1"/>
  <c r="B22" i="1"/>
  <c r="J65" i="1" s="1"/>
  <c r="N53" i="1"/>
  <c r="L52" i="1"/>
  <c r="C30" i="1" l="1"/>
  <c r="J62" i="1"/>
  <c r="C37" i="1"/>
  <c r="J56" i="1" s="1"/>
  <c r="C32" i="1"/>
  <c r="C56" i="1" s="1"/>
  <c r="J50" i="1" s="1"/>
  <c r="C35" i="1"/>
  <c r="C29" i="1"/>
  <c r="C22" i="1"/>
  <c r="N38" i="1"/>
  <c r="C34" i="1"/>
  <c r="C27" i="1"/>
  <c r="C57" i="1"/>
  <c r="B27" i="2" s="1"/>
  <c r="J64" i="1"/>
  <c r="L38" i="1"/>
  <c r="A42" i="1" s="1"/>
  <c r="C36" i="1"/>
  <c r="C31" i="1"/>
  <c r="C33" i="1"/>
  <c r="C58" i="1"/>
  <c r="C8" i="2" s="1"/>
  <c r="C28" i="1"/>
  <c r="J66" i="1"/>
  <c r="C47" i="2"/>
  <c r="M66" i="1"/>
  <c r="J55" i="1"/>
  <c r="J46" i="1"/>
  <c r="J63" i="1" l="1"/>
  <c r="J67" i="1" s="1"/>
  <c r="I54" i="1" s="1"/>
  <c r="J61" i="1"/>
  <c r="C48" i="1"/>
  <c r="J8" i="2"/>
  <c r="J15" i="2"/>
  <c r="J18" i="2"/>
  <c r="J6" i="2"/>
  <c r="C14" i="2"/>
  <c r="C2" i="2"/>
  <c r="C26" i="2"/>
  <c r="J12" i="2"/>
  <c r="J20" i="2"/>
  <c r="J23" i="2"/>
  <c r="C3" i="2"/>
  <c r="C16" i="2"/>
  <c r="C46" i="2"/>
  <c r="Q43" i="1"/>
  <c r="C22" i="2"/>
  <c r="C4" i="2"/>
  <c r="I10" i="2"/>
  <c r="J37" i="2"/>
  <c r="C28" i="2"/>
  <c r="J25" i="2"/>
  <c r="C40" i="2"/>
  <c r="B32" i="2"/>
  <c r="I32" i="2"/>
  <c r="B23" i="2"/>
  <c r="I31" i="2"/>
  <c r="C47" i="1"/>
  <c r="I23" i="2"/>
  <c r="I4" i="2"/>
  <c r="I22" i="2"/>
  <c r="B7" i="2"/>
  <c r="B18" i="2"/>
  <c r="I7" i="2"/>
  <c r="I27" i="2"/>
  <c r="I9" i="2"/>
  <c r="I24" i="2"/>
  <c r="I18" i="2"/>
  <c r="I12" i="2"/>
  <c r="B37" i="2"/>
  <c r="B28" i="2"/>
  <c r="I25" i="2"/>
  <c r="B10" i="2"/>
  <c r="I13" i="2"/>
  <c r="B8" i="2"/>
  <c r="D8" i="2" s="1"/>
  <c r="E8" i="2" s="1"/>
  <c r="F8" i="2" s="1"/>
  <c r="G8" i="2" s="1"/>
  <c r="B3" i="2"/>
  <c r="B20" i="2"/>
  <c r="B25" i="2"/>
  <c r="I36" i="2"/>
  <c r="I26" i="2"/>
  <c r="I3" i="2"/>
  <c r="I35" i="2"/>
  <c r="B12" i="2"/>
  <c r="B4" i="2"/>
  <c r="I28" i="2"/>
  <c r="B13" i="2"/>
  <c r="B22" i="2"/>
  <c r="I17" i="2"/>
  <c r="I34" i="2"/>
  <c r="B35" i="2"/>
  <c r="B5" i="2"/>
  <c r="B16" i="2"/>
  <c r="D16" i="2" s="1"/>
  <c r="E16" i="2" s="1"/>
  <c r="F16" i="2" s="1"/>
  <c r="G16" i="2" s="1"/>
  <c r="I37" i="2"/>
  <c r="I19" i="2"/>
  <c r="B21" i="2"/>
  <c r="B30" i="2"/>
  <c r="I21" i="2"/>
  <c r="B15" i="2"/>
  <c r="B9" i="2"/>
  <c r="B41" i="2"/>
  <c r="R42" i="1"/>
  <c r="I6" i="2"/>
  <c r="B17" i="2"/>
  <c r="I5" i="2"/>
  <c r="B33" i="2"/>
  <c r="B29" i="2"/>
  <c r="I30" i="2"/>
  <c r="I40" i="2"/>
  <c r="B11" i="2"/>
  <c r="R43" i="1"/>
  <c r="B31" i="2"/>
  <c r="I8" i="2"/>
  <c r="K8" i="2" s="1"/>
  <c r="L8" i="2" s="1"/>
  <c r="B39" i="2"/>
  <c r="J5" i="2"/>
  <c r="J38" i="2"/>
  <c r="C33" i="2"/>
  <c r="J14" i="2"/>
  <c r="C49" i="1"/>
  <c r="C50" i="1" s="1"/>
  <c r="C53" i="1" s="1"/>
  <c r="J28" i="2"/>
  <c r="J40" i="2"/>
  <c r="C21" i="2"/>
  <c r="C11" i="2"/>
  <c r="C41" i="2"/>
  <c r="J10" i="2"/>
  <c r="J32" i="2"/>
  <c r="C6" i="2"/>
  <c r="C29" i="2"/>
  <c r="C27" i="2"/>
  <c r="D27" i="2" s="1"/>
  <c r="E27" i="2" s="1"/>
  <c r="F27" i="2" s="1"/>
  <c r="G27" i="2" s="1"/>
  <c r="J16" i="2"/>
  <c r="J41" i="2"/>
  <c r="J13" i="2"/>
  <c r="J4" i="2"/>
  <c r="B38" i="2"/>
  <c r="J3" i="2"/>
  <c r="C18" i="2"/>
  <c r="C23" i="2"/>
  <c r="J19" i="2"/>
  <c r="I20" i="2"/>
  <c r="B36" i="2"/>
  <c r="I29" i="2"/>
  <c r="C34" i="2"/>
  <c r="B34" i="2"/>
  <c r="J35" i="2"/>
  <c r="C38" i="2"/>
  <c r="J27" i="2"/>
  <c r="J22" i="2"/>
  <c r="J29" i="2"/>
  <c r="C31" i="2"/>
  <c r="J21" i="2"/>
  <c r="J11" i="2"/>
  <c r="J33" i="2"/>
  <c r="C25" i="2"/>
  <c r="J31" i="2"/>
  <c r="C37" i="2"/>
  <c r="J30" i="2"/>
  <c r="C7" i="2"/>
  <c r="C10" i="2"/>
  <c r="C5" i="2"/>
  <c r="C24" i="2"/>
  <c r="C20" i="2"/>
  <c r="C36" i="2"/>
  <c r="Q42" i="1"/>
  <c r="C13" i="2"/>
  <c r="J26" i="2"/>
  <c r="C15" i="2"/>
  <c r="C35" i="2"/>
  <c r="B24" i="2"/>
  <c r="J39" i="2"/>
  <c r="I2" i="2"/>
  <c r="B2" i="2"/>
  <c r="B19" i="2"/>
  <c r="J36" i="2"/>
  <c r="J7" i="2"/>
  <c r="C12" i="2"/>
  <c r="J9" i="2"/>
  <c r="C19" i="2"/>
  <c r="J17" i="2"/>
  <c r="I33" i="2"/>
  <c r="B6" i="2"/>
  <c r="I14" i="2"/>
  <c r="B26" i="2"/>
  <c r="I38" i="2"/>
  <c r="B14" i="2"/>
  <c r="C17" i="2"/>
  <c r="J34" i="2"/>
  <c r="C32" i="2"/>
  <c r="C9" i="2"/>
  <c r="C30" i="2"/>
  <c r="C39" i="2"/>
  <c r="J2" i="2"/>
  <c r="I39" i="2"/>
  <c r="C45" i="2"/>
  <c r="I16" i="2"/>
  <c r="I41" i="2"/>
  <c r="B40" i="2"/>
  <c r="I15" i="2"/>
  <c r="K15" i="2" s="1"/>
  <c r="L15" i="2" s="1"/>
  <c r="I11" i="2"/>
  <c r="I15" i="1"/>
  <c r="L56" i="1"/>
  <c r="K56" i="1" s="1"/>
  <c r="A15" i="1"/>
  <c r="E15" i="1"/>
  <c r="J24" i="2"/>
  <c r="J53" i="1"/>
  <c r="I73" i="1"/>
  <c r="M67" i="1"/>
  <c r="E73" i="1"/>
  <c r="A61" i="1"/>
  <c r="L55" i="1"/>
  <c r="K55" i="1" s="1"/>
  <c r="L53" i="1"/>
  <c r="K30" i="2" l="1"/>
  <c r="L30" i="2" s="1"/>
  <c r="J43" i="1"/>
  <c r="D4" i="2"/>
  <c r="E4" i="2" s="1"/>
  <c r="F4" i="2" s="1"/>
  <c r="G4" i="2" s="1"/>
  <c r="K40" i="2"/>
  <c r="L40" i="2" s="1"/>
  <c r="K18" i="2"/>
  <c r="L18" i="2" s="1"/>
  <c r="K6" i="2"/>
  <c r="L6" i="2" s="1"/>
  <c r="D14" i="2"/>
  <c r="E14" i="2" s="1"/>
  <c r="F14" i="2" s="1"/>
  <c r="G14" i="2" s="1"/>
  <c r="D2" i="2"/>
  <c r="E2" i="2" s="1"/>
  <c r="F2" i="2" s="1"/>
  <c r="G2" i="2" s="1"/>
  <c r="K12" i="2"/>
  <c r="L12" i="2" s="1"/>
  <c r="K20" i="2"/>
  <c r="L20" i="2" s="1"/>
  <c r="D3" i="2"/>
  <c r="E3" i="2" s="1"/>
  <c r="F3" i="2" s="1"/>
  <c r="G3" i="2" s="1"/>
  <c r="K23" i="2"/>
  <c r="L23" i="2" s="1"/>
  <c r="D26" i="2"/>
  <c r="E26" i="2" s="1"/>
  <c r="F26" i="2" s="1"/>
  <c r="G26" i="2" s="1"/>
  <c r="D22" i="2"/>
  <c r="E22" i="2" s="1"/>
  <c r="F22" i="2" s="1"/>
  <c r="G22" i="2" s="1"/>
  <c r="D28" i="2"/>
  <c r="E28" i="2" s="1"/>
  <c r="F28" i="2" s="1"/>
  <c r="G28" i="2" s="1"/>
  <c r="D18" i="2"/>
  <c r="E18" i="2" s="1"/>
  <c r="F18" i="2" s="1"/>
  <c r="G18" i="2" s="1"/>
  <c r="D31" i="2"/>
  <c r="E31" i="2" s="1"/>
  <c r="F31" i="2" s="1"/>
  <c r="G31" i="2" s="1"/>
  <c r="K10" i="2"/>
  <c r="L10" i="2" s="1"/>
  <c r="K37" i="2"/>
  <c r="L37" i="2" s="1"/>
  <c r="D32" i="2"/>
  <c r="E32" i="2" s="1"/>
  <c r="F32" i="2" s="1"/>
  <c r="G32" i="2" s="1"/>
  <c r="J42" i="1"/>
  <c r="D15" i="2"/>
  <c r="E15" i="2" s="1"/>
  <c r="F15" i="2" s="1"/>
  <c r="G15" i="2" s="1"/>
  <c r="D9" i="2"/>
  <c r="E9" i="2" s="1"/>
  <c r="F9" i="2" s="1"/>
  <c r="G9" i="2" s="1"/>
  <c r="K9" i="2"/>
  <c r="L9" i="2" s="1"/>
  <c r="D6" i="2"/>
  <c r="E6" i="2" s="1"/>
  <c r="F6" i="2" s="1"/>
  <c r="G6" i="2" s="1"/>
  <c r="D24" i="2"/>
  <c r="E24" i="2" s="1"/>
  <c r="F24" i="2" s="1"/>
  <c r="G24" i="2" s="1"/>
  <c r="K25" i="2"/>
  <c r="L25" i="2" s="1"/>
  <c r="D40" i="2"/>
  <c r="E40" i="2" s="1"/>
  <c r="F40" i="2" s="1"/>
  <c r="G40" i="2" s="1"/>
  <c r="D35" i="2"/>
  <c r="E35" i="2" s="1"/>
  <c r="F35" i="2" s="1"/>
  <c r="G35" i="2" s="1"/>
  <c r="D25" i="2"/>
  <c r="E25" i="2" s="1"/>
  <c r="F25" i="2" s="1"/>
  <c r="G25" i="2" s="1"/>
  <c r="K5" i="2"/>
  <c r="L5" i="2" s="1"/>
  <c r="K14" i="2"/>
  <c r="L14" i="2" s="1"/>
  <c r="D12" i="2"/>
  <c r="E12" i="2" s="1"/>
  <c r="F12" i="2" s="1"/>
  <c r="G12" i="2" s="1"/>
  <c r="D39" i="2"/>
  <c r="E39" i="2" s="1"/>
  <c r="F39" i="2" s="1"/>
  <c r="G39" i="2" s="1"/>
  <c r="K31" i="2"/>
  <c r="L31" i="2" s="1"/>
  <c r="D33" i="2"/>
  <c r="E33" i="2" s="1"/>
  <c r="F33" i="2" s="1"/>
  <c r="G33" i="2" s="1"/>
  <c r="K19" i="2"/>
  <c r="L19" i="2" s="1"/>
  <c r="D13" i="2"/>
  <c r="E13" i="2" s="1"/>
  <c r="F13" i="2" s="1"/>
  <c r="G13" i="2" s="1"/>
  <c r="K32" i="2"/>
  <c r="L32" i="2" s="1"/>
  <c r="K39" i="2"/>
  <c r="L39" i="2" s="1"/>
  <c r="K4" i="2"/>
  <c r="L4" i="2" s="1"/>
  <c r="D30" i="2"/>
  <c r="E30" i="2" s="1"/>
  <c r="F30" i="2" s="1"/>
  <c r="G30" i="2" s="1"/>
  <c r="K28" i="2"/>
  <c r="L28" i="2" s="1"/>
  <c r="K22" i="2"/>
  <c r="L22" i="2" s="1"/>
  <c r="D23" i="2"/>
  <c r="E23" i="2" s="1"/>
  <c r="F23" i="2" s="1"/>
  <c r="G23" i="2" s="1"/>
  <c r="D20" i="2"/>
  <c r="E20" i="2" s="1"/>
  <c r="F20" i="2" s="1"/>
  <c r="G20" i="2" s="1"/>
  <c r="D41" i="2"/>
  <c r="E41" i="2" s="1"/>
  <c r="F41" i="2" s="1"/>
  <c r="G41" i="2" s="1"/>
  <c r="K41" i="2"/>
  <c r="L41" i="2" s="1"/>
  <c r="D11" i="2"/>
  <c r="E11" i="2" s="1"/>
  <c r="F11" i="2" s="1"/>
  <c r="G11" i="2" s="1"/>
  <c r="K17" i="2"/>
  <c r="L17" i="2" s="1"/>
  <c r="D34" i="2"/>
  <c r="E34" i="2" s="1"/>
  <c r="F34" i="2" s="1"/>
  <c r="G34" i="2" s="1"/>
  <c r="D37" i="2"/>
  <c r="E37" i="2" s="1"/>
  <c r="F37" i="2" s="1"/>
  <c r="G37" i="2" s="1"/>
  <c r="D10" i="2"/>
  <c r="E10" i="2" s="1"/>
  <c r="F10" i="2" s="1"/>
  <c r="G10" i="2" s="1"/>
  <c r="K27" i="2"/>
  <c r="L27" i="2" s="1"/>
  <c r="K13" i="2"/>
  <c r="L13" i="2" s="1"/>
  <c r="D36" i="2"/>
  <c r="E36" i="2" s="1"/>
  <c r="F36" i="2" s="1"/>
  <c r="G36" i="2" s="1"/>
  <c r="D29" i="2"/>
  <c r="E29" i="2" s="1"/>
  <c r="F29" i="2" s="1"/>
  <c r="G29" i="2" s="1"/>
  <c r="D17" i="2"/>
  <c r="E17" i="2" s="1"/>
  <c r="F17" i="2" s="1"/>
  <c r="G17" i="2" s="1"/>
  <c r="K26" i="2"/>
  <c r="L26" i="2" s="1"/>
  <c r="D7" i="2"/>
  <c r="E7" i="2" s="1"/>
  <c r="F7" i="2" s="1"/>
  <c r="G7" i="2" s="1"/>
  <c r="K24" i="2"/>
  <c r="L24" i="2" s="1"/>
  <c r="D38" i="2"/>
  <c r="E38" i="2" s="1"/>
  <c r="F38" i="2" s="1"/>
  <c r="G38" i="2" s="1"/>
  <c r="C51" i="1"/>
  <c r="K34" i="2"/>
  <c r="L34" i="2" s="1"/>
  <c r="K7" i="2"/>
  <c r="L7" i="2" s="1"/>
  <c r="K21" i="2"/>
  <c r="L21" i="2" s="1"/>
  <c r="K35" i="2"/>
  <c r="L35" i="2" s="1"/>
  <c r="K33" i="2"/>
  <c r="L33" i="2" s="1"/>
  <c r="K36" i="2"/>
  <c r="L36" i="2" s="1"/>
  <c r="D19" i="2"/>
  <c r="E19" i="2" s="1"/>
  <c r="F19" i="2" s="1"/>
  <c r="G19" i="2" s="1"/>
  <c r="K29" i="2"/>
  <c r="L29" i="2" s="1"/>
  <c r="K38" i="2"/>
  <c r="L38" i="2" s="1"/>
  <c r="D5" i="2"/>
  <c r="E5" i="2" s="1"/>
  <c r="F5" i="2" s="1"/>
  <c r="G5" i="2" s="1"/>
  <c r="K3" i="2"/>
  <c r="L3" i="2" s="1"/>
  <c r="K16" i="2"/>
  <c r="L16" i="2" s="1"/>
  <c r="K2" i="2"/>
  <c r="L2" i="2" s="1"/>
  <c r="D21" i="2"/>
  <c r="E21" i="2" s="1"/>
  <c r="F21" i="2" s="1"/>
  <c r="G21" i="2" s="1"/>
  <c r="K11" i="2"/>
  <c r="L11" i="2" s="1"/>
  <c r="L42" i="1" l="1"/>
  <c r="L47" i="1"/>
  <c r="C52" i="1"/>
  <c r="L48" i="1"/>
  <c r="L43" i="1"/>
  <c r="L49" i="1" l="1"/>
</calcChain>
</file>

<file path=xl/sharedStrings.xml><?xml version="1.0" encoding="utf-8"?>
<sst xmlns="http://schemas.openxmlformats.org/spreadsheetml/2006/main" count="253" uniqueCount="165">
  <si>
    <t>http://www.expo-engineering.de</t>
  </si>
  <si>
    <t>Load Calculator</t>
  </si>
  <si>
    <t>m</t>
  </si>
  <si>
    <t>kg/m</t>
  </si>
  <si>
    <t>mm</t>
  </si>
  <si>
    <r>
      <t>cm</t>
    </r>
    <r>
      <rPr>
        <vertAlign val="superscript"/>
        <sz val="10"/>
        <rFont val="Arial"/>
        <family val="2"/>
      </rPr>
      <t>2</t>
    </r>
  </si>
  <si>
    <t>cm</t>
  </si>
  <si>
    <r>
      <t>cm</t>
    </r>
    <r>
      <rPr>
        <vertAlign val="superscript"/>
        <sz val="10"/>
        <rFont val="Arial"/>
        <family val="2"/>
      </rPr>
      <t>4</t>
    </r>
  </si>
  <si>
    <t>kg</t>
  </si>
  <si>
    <r>
      <t>cm</t>
    </r>
    <r>
      <rPr>
        <vertAlign val="superscript"/>
        <sz val="10"/>
        <rFont val="Arial"/>
        <family val="2"/>
      </rPr>
      <t>3</t>
    </r>
  </si>
  <si>
    <t>kN/m</t>
  </si>
  <si>
    <t>kNm</t>
  </si>
  <si>
    <t>kN</t>
  </si>
  <si>
    <t>FD34</t>
  </si>
  <si>
    <t>FD33</t>
  </si>
  <si>
    <t>XD</t>
  </si>
  <si>
    <t>System</t>
  </si>
  <si>
    <t>FD43</t>
  </si>
  <si>
    <t>FD44</t>
  </si>
  <si>
    <t>Gurte</t>
  </si>
  <si>
    <t>Hoch</t>
  </si>
  <si>
    <t>Breit</t>
  </si>
  <si>
    <t>Trusspinn</t>
  </si>
  <si>
    <t>Material</t>
  </si>
  <si>
    <t>Gew.</t>
  </si>
  <si>
    <t>ST</t>
  </si>
  <si>
    <t>Fitting</t>
  </si>
  <si>
    <t>L</t>
  </si>
  <si>
    <t>zul p(M)</t>
  </si>
  <si>
    <t>zul p(V)</t>
  </si>
  <si>
    <t>zul p</t>
  </si>
  <si>
    <t>zul p(+)</t>
  </si>
  <si>
    <t>zul p (kg/m)</t>
  </si>
  <si>
    <t>zul P</t>
  </si>
  <si>
    <t>copyright Michael Lück</t>
  </si>
  <si>
    <t>zulF(M)</t>
  </si>
  <si>
    <t>zulF(v)</t>
  </si>
  <si>
    <t>zulF</t>
  </si>
  <si>
    <t>zulF(kg)</t>
  </si>
  <si>
    <t>HD34</t>
  </si>
  <si>
    <t>HD44</t>
  </si>
  <si>
    <t>HD33</t>
  </si>
  <si>
    <t>Gurt d</t>
  </si>
  <si>
    <t>Gurt t</t>
  </si>
  <si>
    <t>Brace d</t>
  </si>
  <si>
    <t>Brace t</t>
  </si>
  <si>
    <t>My,Rd</t>
  </si>
  <si>
    <t>Vz,Rd</t>
  </si>
  <si>
    <t>HD43</t>
  </si>
  <si>
    <t>6082 T6</t>
  </si>
  <si>
    <t>Fork End</t>
  </si>
  <si>
    <t>Auswahl</t>
  </si>
  <si>
    <r>
      <rPr>
        <sz val="10"/>
        <rFont val="Symbol"/>
        <family val="1"/>
        <charset val="2"/>
      </rPr>
      <t>g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= </t>
    </r>
  </si>
  <si>
    <t>zul p für Vzd</t>
  </si>
  <si>
    <t>zul p für Myd</t>
  </si>
  <si>
    <t>My,Rd =</t>
  </si>
  <si>
    <t>g =</t>
  </si>
  <si>
    <t>Vz,Rd =</t>
  </si>
  <si>
    <t xml:space="preserve"> Design Value Md (kNm) =</t>
  </si>
  <si>
    <t>Design Value Vd (kN) =</t>
  </si>
  <si>
    <t>Faktor Vz</t>
  </si>
  <si>
    <t xml:space="preserve">Local My(Vz) = </t>
  </si>
  <si>
    <t>Local factor for Vz,d =</t>
  </si>
  <si>
    <t>Global Nd (My,d)=</t>
  </si>
  <si>
    <t>kNcm</t>
  </si>
  <si>
    <t>Interaktion</t>
  </si>
  <si>
    <t xml:space="preserve"> Mu,Rd</t>
  </si>
  <si>
    <t>Nu,Rd</t>
  </si>
  <si>
    <t>Exponent</t>
  </si>
  <si>
    <t>Nu,Rd =</t>
  </si>
  <si>
    <t>Mu,Rd =</t>
  </si>
  <si>
    <t>Nachw</t>
  </si>
  <si>
    <t>Exp</t>
  </si>
  <si>
    <r>
      <rPr>
        <sz val="10"/>
        <color indexed="9"/>
        <rFont val="Symbol"/>
        <family val="1"/>
        <charset val="2"/>
      </rPr>
      <t>g</t>
    </r>
    <r>
      <rPr>
        <vertAlign val="subscript"/>
        <sz val="10"/>
        <color indexed="9"/>
        <rFont val="Arial"/>
        <family val="2"/>
      </rPr>
      <t>f</t>
    </r>
    <r>
      <rPr>
        <sz val="10"/>
        <color indexed="9"/>
        <rFont val="Arial"/>
        <family val="2"/>
      </rPr>
      <t xml:space="preserve"> = </t>
    </r>
  </si>
  <si>
    <t>Md aus UDL</t>
  </si>
  <si>
    <t>anteilig</t>
  </si>
  <si>
    <t>Der "Load-calculator"</t>
  </si>
  <si>
    <t>Wählen Sie Ihr System</t>
  </si>
  <si>
    <t>Anzahl Gurtrohre</t>
  </si>
  <si>
    <t>Verbinder Typ</t>
  </si>
  <si>
    <t>Durchmesser Gurtrohr</t>
  </si>
  <si>
    <t>Wandstärke Gurtrohr</t>
  </si>
  <si>
    <t>Durchmesser (vertikale) Diagonale</t>
  </si>
  <si>
    <t>Wandstärke (vertikale) Diagonale</t>
  </si>
  <si>
    <t>Durchmesser Pin</t>
  </si>
  <si>
    <t>Werkstoff</t>
  </si>
  <si>
    <t>Eigenlast</t>
  </si>
  <si>
    <t>Statische Werte</t>
  </si>
  <si>
    <t>Statische Querschnittswerte</t>
  </si>
  <si>
    <t>Querschnittsfläche</t>
  </si>
  <si>
    <t>Abstand Gurtachse - Schwerpunkt</t>
  </si>
  <si>
    <t>Iy Gurt</t>
  </si>
  <si>
    <t>i Gurt</t>
  </si>
  <si>
    <t>Iy Traverse</t>
  </si>
  <si>
    <t>i Traverse</t>
  </si>
  <si>
    <t>Wy Traverse</t>
  </si>
  <si>
    <t>Zulässige lokale Pressung Gurt</t>
  </si>
  <si>
    <t>Bemessungs-Querkraft Vz,Rd</t>
  </si>
  <si>
    <t>Bemessungs-Moment My,Rd</t>
  </si>
  <si>
    <t>Spannweite</t>
  </si>
  <si>
    <t>Ausgewähltes System</t>
  </si>
  <si>
    <t>zulässige mittige Punktlast</t>
  </si>
  <si>
    <t>zulässige Gleichlast</t>
  </si>
  <si>
    <t>Gewählte mittige Punktlast</t>
  </si>
  <si>
    <t>Gewählte Gleichlast</t>
  </si>
  <si>
    <t>Durchbiegung</t>
  </si>
  <si>
    <t>Anzahl Punktlasten</t>
  </si>
  <si>
    <t>Mehrfache Punktlasten, je</t>
  </si>
  <si>
    <t>System Status:</t>
  </si>
  <si>
    <t>für Eigenlast</t>
  </si>
  <si>
    <t>für Nutzlast</t>
  </si>
  <si>
    <t>Berücksichtigte Teilsicherheitsbeiwerte gemäß EC1:</t>
  </si>
  <si>
    <t>copyright:</t>
  </si>
  <si>
    <t>Anleitung</t>
  </si>
  <si>
    <t>1) Bemessungswerte nach EC1/EC9 - Nicht zu verwechseln mit zulässigen Werten im Sinne der DIN 4113!</t>
  </si>
  <si>
    <t>2) Blaue Felder &gt;&gt;&gt; Eingabe</t>
  </si>
  <si>
    <t>3) Alle Berechnungen beziehen sich auf einen Träger mit 2 außen angeordneten Auflagern.</t>
  </si>
  <si>
    <t>4) Alle Berechnungen beziehen sich auf einen Träger mit symmetrischen Lasten.</t>
  </si>
  <si>
    <t>5) Alle Berechnungen beziehen sich auf einen Träger mit Belastungen gemäß unten stehenden Lastpositionen.</t>
  </si>
  <si>
    <t>6) Zulässige Gleichlasten können sehr hoch sein. Diese sind idealisiert zu verstehen und sind in die Knotenpunkte einzuleiten!</t>
  </si>
  <si>
    <t>7) Durchbiegungen für mehrfache Punktlasten werden nicht berechnet.</t>
  </si>
  <si>
    <t>8) FD32, FD42 und andere Leitertraversen sind nicht gelistet, da deren Belastbarkeit von einer Vielzahl von Parametern abhängt.</t>
  </si>
  <si>
    <t>9) Hohe Punktlasten können lokale Überbeanspruchungen auslösen - fragen Sie ihren Händler!</t>
  </si>
  <si>
    <t>10) Der Autor übernimmt keine Gewähr für berechnete Daten. Der Autor schließt jede Haftung für die Anwendung des Loadcalculators aus!</t>
  </si>
  <si>
    <t xml:space="preserve">     Der Loadcalculator ersetzt keine Statische Berechnung!</t>
  </si>
  <si>
    <t>*** Hier muss ein individueller Nachweis durch einen Statiker erfolgen!</t>
  </si>
  <si>
    <t>Last</t>
  </si>
  <si>
    <t>ohne Eigenlast</t>
  </si>
  <si>
    <t>inkl. Eigenlast</t>
  </si>
  <si>
    <t>Duchbiegung nicht</t>
  </si>
  <si>
    <t>berechnet</t>
  </si>
  <si>
    <t>je</t>
  </si>
  <si>
    <t>EC. V1.01</t>
  </si>
  <si>
    <t>Zur Berechnung eines individuellen Lastfalls aus Kombination von Streckenlasten, mittige Punktlast,</t>
  </si>
  <si>
    <t>sowie mehrfache Einzellasten.</t>
  </si>
  <si>
    <t>Bei kurzen Längen kann eine Interaktion zwischen Querkraft Vz und Gurtkraft aus My zu lokaler</t>
  </si>
  <si>
    <t>Belastung an den Verbindungen führen (Fachwerk-Unterbrechung). Diese Interaktion muss</t>
  </si>
  <si>
    <t xml:space="preserve">individuell betrachtet werden - für genaue zugelassene Lasten s. Typenstatik. Hier wird </t>
  </si>
  <si>
    <t>im Falle einer möglichen Last-Begrenzung durch Interaktion nur ein Hinweis ausgegeben!</t>
  </si>
  <si>
    <t>Profil Werte</t>
  </si>
  <si>
    <t>Querschnittswerte</t>
  </si>
  <si>
    <t>Naxpro</t>
  </si>
  <si>
    <t>FD14</t>
  </si>
  <si>
    <t>FD21</t>
  </si>
  <si>
    <t>FD23</t>
  </si>
  <si>
    <t>FD24</t>
  </si>
  <si>
    <t>FD31</t>
  </si>
  <si>
    <t>GD</t>
  </si>
  <si>
    <t>GS34</t>
  </si>
  <si>
    <t>GS64</t>
  </si>
  <si>
    <t>Conus</t>
  </si>
  <si>
    <t xml:space="preserve"> - </t>
  </si>
  <si>
    <t>EN AW-6060 T6</t>
  </si>
  <si>
    <t>EN AW-6060 T66</t>
  </si>
  <si>
    <t>EN AW-6082 T6</t>
  </si>
  <si>
    <t xml:space="preserve"> -</t>
  </si>
  <si>
    <t>6,165mm 11SMn30</t>
  </si>
  <si>
    <t>6,74mm 11SMn30</t>
  </si>
  <si>
    <t>11,0mm 10.9</t>
  </si>
  <si>
    <t>10.9</t>
  </si>
  <si>
    <t>Profilhöhe - Achsen</t>
  </si>
  <si>
    <t>Profilbreite Achsen</t>
  </si>
  <si>
    <t>V.1.1.1</t>
  </si>
  <si>
    <t>Expo Engineering GmbH, Dipl.-Ing. Michael Lück</t>
  </si>
  <si>
    <t>phone:0049-2520-93162-0 / fax:0049-2520-93162-210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</si>
</sst>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sz val="20"/>
      <color indexed="10"/>
      <name val="Arial"/>
      <family val="2"/>
    </font>
    <font>
      <u/>
      <sz val="7.5"/>
      <color indexed="12"/>
      <name val="Arial"/>
      <family val="2"/>
    </font>
    <font>
      <sz val="12"/>
      <color indexed="2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22"/>
      <color indexed="10"/>
      <name val="Arial"/>
      <family val="2"/>
    </font>
    <font>
      <sz val="22"/>
      <color indexed="12"/>
      <name val="Arial"/>
      <family val="2"/>
    </font>
    <font>
      <sz val="12"/>
      <color indexed="8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sz val="10"/>
      <color indexed="9"/>
      <name val="Symbol"/>
      <family val="1"/>
      <charset val="2"/>
    </font>
    <font>
      <vertAlign val="subscript"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4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0" fillId="0" borderId="0" xfId="0" applyProtection="1">
      <protection hidden="1"/>
    </xf>
    <xf numFmtId="0" fontId="19" fillId="0" borderId="0" xfId="0" applyFont="1" applyProtection="1">
      <protection hidden="1"/>
    </xf>
    <xf numFmtId="0" fontId="19" fillId="0" borderId="0" xfId="0" applyFont="1"/>
    <xf numFmtId="0" fontId="30" fillId="0" borderId="0" xfId="0" applyFont="1" applyProtection="1">
      <protection hidden="1"/>
    </xf>
    <xf numFmtId="0" fontId="31" fillId="0" borderId="0" xfId="0" applyFont="1" applyProtection="1">
      <protection hidden="1"/>
    </xf>
    <xf numFmtId="0" fontId="31" fillId="0" borderId="0" xfId="0" applyFont="1" applyAlignment="1" applyProtection="1">
      <alignment horizontal="right"/>
      <protection hidden="1"/>
    </xf>
    <xf numFmtId="0" fontId="31" fillId="0" borderId="0" xfId="0" applyFont="1" applyFill="1" applyBorder="1" applyAlignment="1" applyProtection="1">
      <alignment horizontal="right"/>
      <protection hidden="1"/>
    </xf>
    <xf numFmtId="0" fontId="31" fillId="0" borderId="0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11" fillId="2" borderId="0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14" fillId="2" borderId="0" xfId="1" applyFill="1" applyBorder="1" applyAlignment="1" applyProtection="1">
      <protection hidden="1"/>
    </xf>
    <xf numFmtId="0" fontId="7" fillId="2" borderId="0" xfId="0" applyFont="1" applyFill="1" applyBorder="1" applyProtection="1">
      <protection hidden="1"/>
    </xf>
    <xf numFmtId="0" fontId="10" fillId="2" borderId="0" xfId="0" applyFont="1" applyFill="1" applyBorder="1" applyProtection="1">
      <protection hidden="1"/>
    </xf>
    <xf numFmtId="0" fontId="8" fillId="2" borderId="0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12" fillId="2" borderId="0" xfId="0" applyFont="1" applyFill="1" applyBorder="1" applyProtection="1">
      <protection hidden="1"/>
    </xf>
    <xf numFmtId="0" fontId="25" fillId="2" borderId="0" xfId="0" applyFont="1" applyFill="1" applyBorder="1" applyProtection="1">
      <protection hidden="1"/>
    </xf>
    <xf numFmtId="0" fontId="12" fillId="2" borderId="0" xfId="0" applyFont="1" applyFill="1" applyBorder="1"/>
    <xf numFmtId="0" fontId="12" fillId="2" borderId="0" xfId="1" applyFont="1" applyFill="1" applyBorder="1" applyAlignment="1" applyProtection="1">
      <protection hidden="1"/>
    </xf>
    <xf numFmtId="0" fontId="20" fillId="2" borderId="0" xfId="0" applyFont="1" applyFill="1" applyBorder="1" applyProtection="1">
      <protection hidden="1"/>
    </xf>
    <xf numFmtId="0" fontId="0" fillId="2" borderId="0" xfId="0" applyFill="1" applyProtection="1">
      <protection hidden="1"/>
    </xf>
    <xf numFmtId="0" fontId="6" fillId="2" borderId="0" xfId="0" applyFont="1" applyFill="1" applyBorder="1" applyProtection="1">
      <protection hidden="1"/>
    </xf>
    <xf numFmtId="0" fontId="8" fillId="2" borderId="0" xfId="0" applyNumberFormat="1" applyFont="1" applyFill="1" applyBorder="1" applyProtection="1">
      <protection locked="0" hidden="1"/>
    </xf>
    <xf numFmtId="0" fontId="2" fillId="2" borderId="0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4" fillId="2" borderId="0" xfId="0" applyFont="1" applyFill="1" applyBorder="1" applyProtection="1">
      <protection hidden="1"/>
    </xf>
    <xf numFmtId="164" fontId="0" fillId="2" borderId="0" xfId="0" applyNumberForma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1" fillId="2" borderId="3" xfId="0" applyFont="1" applyFill="1" applyBorder="1" applyProtection="1">
      <protection hidden="1"/>
    </xf>
    <xf numFmtId="0" fontId="11" fillId="2" borderId="3" xfId="0" applyFont="1" applyFill="1" applyBorder="1" applyProtection="1">
      <protection hidden="1"/>
    </xf>
    <xf numFmtId="0" fontId="1" fillId="2" borderId="4" xfId="0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hidden="1"/>
    </xf>
    <xf numFmtId="0" fontId="21" fillId="2" borderId="1" xfId="0" applyFont="1" applyFill="1" applyBorder="1" applyProtection="1">
      <protection hidden="1"/>
    </xf>
    <xf numFmtId="0" fontId="12" fillId="2" borderId="1" xfId="0" applyFont="1" applyFill="1" applyBorder="1" applyProtection="1">
      <protection hidden="1"/>
    </xf>
    <xf numFmtId="0" fontId="1" fillId="2" borderId="6" xfId="0" applyFont="1" applyFill="1" applyBorder="1" applyProtection="1">
      <protection hidden="1"/>
    </xf>
    <xf numFmtId="0" fontId="22" fillId="2" borderId="2" xfId="0" applyFont="1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21" fillId="2" borderId="2" xfId="0" applyFont="1" applyFill="1" applyBorder="1" applyProtection="1">
      <protection hidden="1"/>
    </xf>
    <xf numFmtId="0" fontId="21" fillId="2" borderId="0" xfId="0" applyFont="1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1" fillId="2" borderId="2" xfId="0" applyFont="1" applyFill="1" applyBorder="1" applyProtection="1">
      <protection hidden="1"/>
    </xf>
    <xf numFmtId="2" fontId="4" fillId="2" borderId="3" xfId="0" applyNumberFormat="1" applyFont="1" applyFill="1" applyBorder="1" applyProtection="1">
      <protection hidden="1"/>
    </xf>
    <xf numFmtId="0" fontId="4" fillId="2" borderId="3" xfId="0" applyFont="1" applyFill="1" applyBorder="1" applyProtection="1">
      <protection hidden="1"/>
    </xf>
    <xf numFmtId="0" fontId="4" fillId="2" borderId="4" xfId="0" applyFont="1" applyFill="1" applyBorder="1" applyProtection="1">
      <protection hidden="1"/>
    </xf>
    <xf numFmtId="2" fontId="4" fillId="2" borderId="1" xfId="0" applyNumberFormat="1" applyFont="1" applyFill="1" applyBorder="1" applyProtection="1">
      <protection hidden="1"/>
    </xf>
    <xf numFmtId="0" fontId="4" fillId="2" borderId="1" xfId="0" applyFont="1" applyFill="1" applyBorder="1" applyProtection="1">
      <protection hidden="1"/>
    </xf>
    <xf numFmtId="0" fontId="4" fillId="2" borderId="6" xfId="0" applyFont="1" applyFill="1" applyBorder="1" applyProtection="1">
      <protection hidden="1"/>
    </xf>
    <xf numFmtId="2" fontId="4" fillId="2" borderId="0" xfId="0" applyNumberFormat="1" applyFont="1" applyFill="1" applyBorder="1" applyProtection="1">
      <protection hidden="1"/>
    </xf>
    <xf numFmtId="2" fontId="0" fillId="2" borderId="0" xfId="0" applyNumberFormat="1" applyFill="1" applyBorder="1" applyProtection="1">
      <protection hidden="1"/>
    </xf>
    <xf numFmtId="2" fontId="0" fillId="2" borderId="3" xfId="0" applyNumberFormat="1" applyFill="1" applyBorder="1" applyProtection="1">
      <protection hidden="1"/>
    </xf>
    <xf numFmtId="165" fontId="0" fillId="2" borderId="0" xfId="0" applyNumberFormat="1" applyFill="1" applyBorder="1" applyProtection="1">
      <protection hidden="1"/>
    </xf>
    <xf numFmtId="0" fontId="31" fillId="2" borderId="0" xfId="0" applyFont="1" applyFill="1" applyBorder="1" applyProtection="1">
      <protection hidden="1"/>
    </xf>
    <xf numFmtId="0" fontId="1" fillId="2" borderId="7" xfId="0" applyFont="1" applyFill="1" applyBorder="1" applyProtection="1">
      <protection hidden="1"/>
    </xf>
    <xf numFmtId="2" fontId="0" fillId="2" borderId="1" xfId="0" applyNumberFormat="1" applyFill="1" applyBorder="1" applyProtection="1">
      <protection hidden="1"/>
    </xf>
    <xf numFmtId="0" fontId="24" fillId="2" borderId="0" xfId="0" applyFont="1" applyFill="1" applyBorder="1" applyProtection="1">
      <protection hidden="1"/>
    </xf>
    <xf numFmtId="0" fontId="23" fillId="2" borderId="0" xfId="0" applyFont="1" applyFill="1" applyBorder="1" applyProtection="1">
      <protection hidden="1"/>
    </xf>
    <xf numFmtId="0" fontId="33" fillId="2" borderId="0" xfId="0" applyFont="1" applyFill="1" applyBorder="1" applyProtection="1">
      <protection hidden="1"/>
    </xf>
    <xf numFmtId="0" fontId="32" fillId="2" borderId="0" xfId="0" applyFont="1" applyFill="1" applyBorder="1" applyAlignment="1" applyProtection="1">
      <alignment horizontal="right"/>
      <protection hidden="1"/>
    </xf>
    <xf numFmtId="0" fontId="32" fillId="2" borderId="0" xfId="0" applyFont="1" applyFill="1" applyBorder="1" applyProtection="1">
      <protection hidden="1"/>
    </xf>
    <xf numFmtId="0" fontId="13" fillId="2" borderId="0" xfId="0" applyFont="1" applyFill="1" applyBorder="1" applyProtection="1">
      <protection hidden="1"/>
    </xf>
    <xf numFmtId="2" fontId="32" fillId="2" borderId="0" xfId="0" applyNumberFormat="1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right"/>
      <protection hidden="1"/>
    </xf>
    <xf numFmtId="0" fontId="16" fillId="2" borderId="0" xfId="0" applyFont="1" applyFill="1" applyBorder="1" applyProtection="1">
      <protection hidden="1"/>
    </xf>
    <xf numFmtId="0" fontId="17" fillId="2" borderId="0" xfId="1" applyFont="1" applyFill="1" applyBorder="1" applyAlignment="1" applyProtection="1">
      <protection hidden="1"/>
    </xf>
    <xf numFmtId="0" fontId="18" fillId="2" borderId="0" xfId="0" applyFont="1" applyFill="1" applyBorder="1" applyProtection="1">
      <protection hidden="1"/>
    </xf>
    <xf numFmtId="0" fontId="9" fillId="2" borderId="0" xfId="0" applyFont="1" applyFill="1" applyBorder="1" applyProtection="1">
      <protection hidden="1"/>
    </xf>
    <xf numFmtId="0" fontId="34" fillId="2" borderId="0" xfId="0" applyFont="1" applyFill="1" applyBorder="1" applyProtection="1">
      <protection hidden="1"/>
    </xf>
    <xf numFmtId="0" fontId="34" fillId="2" borderId="0" xfId="0" applyFont="1" applyFill="1" applyBorder="1" applyAlignment="1" applyProtection="1">
      <alignment horizontal="right"/>
      <protection hidden="1"/>
    </xf>
    <xf numFmtId="0" fontId="35" fillId="2" borderId="0" xfId="0" applyFont="1" applyFill="1" applyProtection="1">
      <protection hidden="1"/>
    </xf>
    <xf numFmtId="0" fontId="34" fillId="2" borderId="0" xfId="0" applyFont="1" applyFill="1" applyAlignment="1" applyProtection="1">
      <alignment horizontal="center"/>
      <protection hidden="1"/>
    </xf>
    <xf numFmtId="0" fontId="34" fillId="2" borderId="0" xfId="0" applyFont="1" applyFill="1" applyBorder="1" applyAlignment="1" applyProtection="1">
      <alignment horizontal="center"/>
      <protection hidden="1"/>
    </xf>
    <xf numFmtId="0" fontId="36" fillId="2" borderId="0" xfId="0" applyFont="1" applyFill="1" applyProtection="1">
      <protection hidden="1"/>
    </xf>
    <xf numFmtId="49" fontId="34" fillId="2" borderId="0" xfId="0" applyNumberFormat="1" applyFont="1" applyFill="1" applyAlignment="1" applyProtection="1">
      <alignment horizontal="center"/>
      <protection hidden="1"/>
    </xf>
    <xf numFmtId="0" fontId="31" fillId="2" borderId="0" xfId="0" applyFont="1" applyFill="1" applyAlignment="1" applyProtection="1">
      <alignment horizontal="center"/>
      <protection hidden="1"/>
    </xf>
    <xf numFmtId="0" fontId="31" fillId="2" borderId="0" xfId="0" applyFont="1" applyFill="1" applyBorder="1" applyAlignment="1" applyProtection="1">
      <alignment horizontal="center"/>
      <protection hidden="1"/>
    </xf>
    <xf numFmtId="0" fontId="34" fillId="2" borderId="0" xfId="0" applyFont="1" applyFill="1" applyBorder="1" applyAlignment="1" applyProtection="1">
      <alignment horizontal="left"/>
      <protection hidden="1"/>
    </xf>
    <xf numFmtId="164" fontId="34" fillId="2" borderId="0" xfId="0" applyNumberFormat="1" applyFont="1" applyFill="1" applyBorder="1" applyAlignment="1" applyProtection="1">
      <alignment horizontal="center"/>
      <protection hidden="1"/>
    </xf>
    <xf numFmtId="0" fontId="31" fillId="2" borderId="0" xfId="0" applyFont="1" applyFill="1" applyBorder="1" applyProtection="1">
      <protection locked="0" hidden="1"/>
    </xf>
    <xf numFmtId="0" fontId="1" fillId="2" borderId="8" xfId="0" applyFont="1" applyFill="1" applyBorder="1" applyProtection="1">
      <protection hidden="1"/>
    </xf>
    <xf numFmtId="1" fontId="1" fillId="2" borderId="3" xfId="0" applyNumberFormat="1" applyFont="1" applyFill="1" applyBorder="1" applyProtection="1">
      <protection locked="0"/>
    </xf>
    <xf numFmtId="1" fontId="1" fillId="2" borderId="0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hidden="1"/>
    </xf>
    <xf numFmtId="1" fontId="1" fillId="2" borderId="1" xfId="0" applyNumberFormat="1" applyFont="1" applyFill="1" applyBorder="1" applyProtection="1">
      <protection locked="0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Status Gurt + Verbinder</a:t>
            </a:r>
          </a:p>
        </c:rich>
      </c:tx>
      <c:layout>
        <c:manualLayout>
          <c:xMode val="edge"/>
          <c:yMode val="edge"/>
          <c:x val="0.22084032178904467"/>
          <c:y val="4.018026048630713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667035573685454"/>
          <c:y val="0.43305085723332315"/>
          <c:w val="0.6291865612951798"/>
          <c:h val="0.26786650962885966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Lit>
              <c:ptCount val="1"/>
              <c:pt idx="0">
                <c:v>used</c:v>
              </c:pt>
            </c:strLit>
          </c:cat>
          <c:val>
            <c:numRef>
              <c:f>Tabelle1!$J$55:$K$55</c:f>
              <c:numCache>
                <c:formatCode>General</c:formatCode>
                <c:ptCount val="2"/>
                <c:pt idx="0">
                  <c:v>3.2146874999999997</c:v>
                </c:pt>
                <c:pt idx="1">
                  <c:v>21.960312500000001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Status Diagonalen</a:t>
            </a:r>
          </a:p>
        </c:rich>
      </c:tx>
      <c:layout>
        <c:manualLayout>
          <c:xMode val="edge"/>
          <c:yMode val="edge"/>
          <c:x val="0.33062330623306235"/>
          <c:y val="4.018026048630713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28952006416961"/>
          <c:y val="0.43305085723332315"/>
          <c:w val="0.64083766607409387"/>
          <c:h val="0.2767953932831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val>
            <c:numRef>
              <c:f>Tabelle1!$J$56:$K$56</c:f>
              <c:numCache>
                <c:formatCode>General</c:formatCode>
                <c:ptCount val="2"/>
                <c:pt idx="0">
                  <c:v>1.2234375</c:v>
                </c:pt>
                <c:pt idx="1">
                  <c:v>15.626562500000002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Charakteristische Gesamtlast
Gleichlast und mittige</a:t>
            </a:r>
            <a:r>
              <a:rPr lang="de-DE" baseline="0"/>
              <a:t> Punktlast </a:t>
            </a:r>
            <a:r>
              <a:rPr lang="de-DE"/>
              <a:t>(m und kg)</a:t>
            </a:r>
          </a:p>
        </c:rich>
      </c:tx>
      <c:layout>
        <c:manualLayout>
          <c:xMode val="edge"/>
          <c:yMode val="edge"/>
          <c:x val="5.7144683339453037E-2"/>
          <c:y val="5.479640732981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0566580693316"/>
          <c:y val="0.24658352046292381"/>
          <c:w val="0.77924556878595574"/>
          <c:h val="0.61189243966725537"/>
        </c:manualLayout>
      </c:layout>
      <c:lineChart>
        <c:grouping val="standard"/>
        <c:varyColors val="0"/>
        <c:ser>
          <c:idx val="0"/>
          <c:order val="0"/>
          <c:tx>
            <c:v>Gleichlast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Tabelle2!$G$2:$G$41</c:f>
              <c:numCache>
                <c:formatCode>General</c:formatCode>
                <c:ptCount val="40"/>
                <c:pt idx="0">
                  <c:v>2283.299354400272</c:v>
                </c:pt>
                <c:pt idx="1">
                  <c:v>2276.418620455318</c:v>
                </c:pt>
                <c:pt idx="2">
                  <c:v>2269.5378865103635</c:v>
                </c:pt>
                <c:pt idx="3">
                  <c:v>2262.6571525654094</c:v>
                </c:pt>
                <c:pt idx="4">
                  <c:v>2255.7764186204549</c:v>
                </c:pt>
                <c:pt idx="5">
                  <c:v>2239.8346358591011</c:v>
                </c:pt>
                <c:pt idx="6">
                  <c:v>1907.0797534100282</c:v>
                </c:pt>
                <c:pt idx="7">
                  <c:v>1655.7934080869863</c:v>
                </c:pt>
                <c:pt idx="8">
                  <c:v>1458.8194208479631</c:v>
                </c:pt>
                <c:pt idx="9">
                  <c:v>1299.8640842677539</c:v>
                </c:pt>
                <c:pt idx="10">
                  <c:v>1168.5586754394094</c:v>
                </c:pt>
                <c:pt idx="11">
                  <c:v>1057.9907124249632</c:v>
                </c:pt>
                <c:pt idx="12">
                  <c:v>963.37463080582324</c:v>
                </c:pt>
                <c:pt idx="13">
                  <c:v>881.29217028299581</c:v>
                </c:pt>
                <c:pt idx="14">
                  <c:v>809.2366066372183</c:v>
                </c:pt>
                <c:pt idx="15">
                  <c:v>745.3278967040435</c:v>
                </c:pt>
                <c:pt idx="16">
                  <c:v>688.12836041654168</c:v>
                </c:pt>
                <c:pt idx="17">
                  <c:v>636.51980216710081</c:v>
                </c:pt>
                <c:pt idx="18">
                  <c:v>589.61943594971126</c:v>
                </c:pt>
                <c:pt idx="19">
                  <c:v>546.72103295956515</c:v>
                </c:pt>
                <c:pt idx="20">
                  <c:v>507.25288416419914</c:v>
                </c:pt>
                <c:pt idx="21">
                  <c:v>470.74722762796159</c:v>
                </c:pt>
                <c:pt idx="22">
                  <c:v>436.81765131705293</c:v>
                </c:pt>
                <c:pt idx="23">
                  <c:v>405.14214520330728</c:v>
                </c:pt>
                <c:pt idx="24">
                  <c:v>375.45022086306494</c:v>
                </c:pt>
                <c:pt idx="25">
                  <c:v>347.51300347630621</c:v>
                </c:pt>
                <c:pt idx="26">
                  <c:v>321.1355256037553</c:v>
                </c:pt>
                <c:pt idx="27">
                  <c:v>296.15067229746126</c:v>
                </c:pt>
                <c:pt idx="28">
                  <c:v>272.41437894712169</c:v>
                </c:pt>
                <c:pt idx="29">
                  <c:v>249.80178955714129</c:v>
                </c:pt>
                <c:pt idx="30">
                  <c:v>228.20415858296883</c:v>
                </c:pt>
                <c:pt idx="31">
                  <c:v>207.52633367312265</c:v>
                </c:pt>
                <c:pt idx="32">
                  <c:v>187.68469609448204</c:v>
                </c:pt>
                <c:pt idx="33">
                  <c:v>168.60546461194059</c:v>
                </c:pt>
                <c:pt idx="34">
                  <c:v>150.22329013154703</c:v>
                </c:pt>
                <c:pt idx="35">
                  <c:v>132.48008456978891</c:v>
                </c:pt>
                <c:pt idx="36">
                  <c:v>115.32403963596622</c:v>
                </c:pt>
                <c:pt idx="37">
                  <c:v>98.708800543662946</c:v>
                </c:pt>
                <c:pt idx="38">
                  <c:v>82.592766843531336</c:v>
                </c:pt>
                <c:pt idx="39">
                  <c:v>66.93849813115871</c:v>
                </c:pt>
              </c:numCache>
            </c:numRef>
          </c:val>
          <c:smooth val="0"/>
        </c:ser>
        <c:ser>
          <c:idx val="1"/>
          <c:order val="1"/>
          <c:tx>
            <c:v>Einzellast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Tabelle2!$L$2:$L$41</c:f>
              <c:numCache>
                <c:formatCode>General</c:formatCode>
                <c:ptCount val="40"/>
                <c:pt idx="0">
                  <c:v>2283.299354400272</c:v>
                </c:pt>
                <c:pt idx="1">
                  <c:v>2276.4186204553175</c:v>
                </c:pt>
                <c:pt idx="2">
                  <c:v>2269.5378865103635</c:v>
                </c:pt>
                <c:pt idx="3">
                  <c:v>1697.0778117567106</c:v>
                </c:pt>
                <c:pt idx="4">
                  <c:v>1351.4695888549097</c:v>
                </c:pt>
                <c:pt idx="5">
                  <c:v>1119.9173179295503</c:v>
                </c:pt>
                <c:pt idx="6">
                  <c:v>953.53987670501431</c:v>
                </c:pt>
                <c:pt idx="7">
                  <c:v>827.89670404349306</c:v>
                </c:pt>
                <c:pt idx="8">
                  <c:v>729.40971042398166</c:v>
                </c:pt>
                <c:pt idx="9">
                  <c:v>649.93204213387696</c:v>
                </c:pt>
                <c:pt idx="10">
                  <c:v>584.2793377197047</c:v>
                </c:pt>
                <c:pt idx="11">
                  <c:v>528.99535621248151</c:v>
                </c:pt>
                <c:pt idx="12">
                  <c:v>481.68731540291162</c:v>
                </c:pt>
                <c:pt idx="13">
                  <c:v>440.64608514149796</c:v>
                </c:pt>
                <c:pt idx="14">
                  <c:v>404.61830331860909</c:v>
                </c:pt>
                <c:pt idx="15">
                  <c:v>372.66394835202181</c:v>
                </c:pt>
                <c:pt idx="16">
                  <c:v>344.06418020827084</c:v>
                </c:pt>
                <c:pt idx="17">
                  <c:v>318.2599010835504</c:v>
                </c:pt>
                <c:pt idx="18">
                  <c:v>294.80971797485557</c:v>
                </c:pt>
                <c:pt idx="19">
                  <c:v>273.36051647978252</c:v>
                </c:pt>
                <c:pt idx="20">
                  <c:v>253.62644208209954</c:v>
                </c:pt>
                <c:pt idx="21">
                  <c:v>235.37361381398077</c:v>
                </c:pt>
                <c:pt idx="22">
                  <c:v>218.4088256585265</c:v>
                </c:pt>
                <c:pt idx="23">
                  <c:v>202.57107260165361</c:v>
                </c:pt>
                <c:pt idx="24">
                  <c:v>187.72511043153244</c:v>
                </c:pt>
                <c:pt idx="25">
                  <c:v>173.75650173815308</c:v>
                </c:pt>
                <c:pt idx="26">
                  <c:v>160.56776280187762</c:v>
                </c:pt>
                <c:pt idx="27">
                  <c:v>148.07533614873063</c:v>
                </c:pt>
                <c:pt idx="28">
                  <c:v>136.20718947356087</c:v>
                </c:pt>
                <c:pt idx="29">
                  <c:v>124.90089477857062</c:v>
                </c:pt>
                <c:pt idx="30">
                  <c:v>114.10207929148444</c:v>
                </c:pt>
                <c:pt idx="31">
                  <c:v>103.76316683656133</c:v>
                </c:pt>
                <c:pt idx="32">
                  <c:v>93.842348047241003</c:v>
                </c:pt>
                <c:pt idx="33">
                  <c:v>84.302732305970295</c:v>
                </c:pt>
                <c:pt idx="34">
                  <c:v>75.111645065773502</c:v>
                </c:pt>
                <c:pt idx="35">
                  <c:v>66.240042284894486</c:v>
                </c:pt>
                <c:pt idx="36">
                  <c:v>57.662019817983115</c:v>
                </c:pt>
                <c:pt idx="37">
                  <c:v>49.354400271831459</c:v>
                </c:pt>
                <c:pt idx="38">
                  <c:v>41.29638342176569</c:v>
                </c:pt>
                <c:pt idx="39">
                  <c:v>33.469249065579341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81056"/>
        <c:axId val="115223936"/>
      </c:lineChart>
      <c:catAx>
        <c:axId val="11678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223936"/>
        <c:crosses val="autoZero"/>
        <c:auto val="1"/>
        <c:lblAlgn val="ctr"/>
        <c:lblOffset val="100"/>
        <c:tickLblSkip val="39"/>
        <c:tickMarkSkip val="1"/>
        <c:noMultiLvlLbl val="0"/>
      </c:catAx>
      <c:valAx>
        <c:axId val="11522393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81056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3">
        <a:lumMod val="60000"/>
        <a:lumOff val="40000"/>
      </a:schemeClr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4" verticalDpi="0"/>
  </c:printSettings>
  <c:userShapes r:id="rId1"/>
</c:chartSpace>
</file>

<file path=xl/ctrlProps/ctrlProp1.xml><?xml version="1.0" encoding="utf-8"?>
<formControlPr xmlns="http://schemas.microsoft.com/office/spreadsheetml/2009/9/main" objectType="Drop" dropLines="30" dropStyle="combo" dx="16" fmlaLink="$AB$152" fmlaRange="$AB$120:$AB$148" noThreeD="1" sel="11" val="0"/>
</file>

<file path=xl/ctrlProps/ctrlProp2.xml><?xml version="1.0" encoding="utf-8"?>
<formControlPr xmlns="http://schemas.microsoft.com/office/spreadsheetml/2009/9/main" objectType="Spin" dx="19" fmlaLink="$J$38" max="40" page="10" val="6"/>
</file>

<file path=xl/ctrlProps/ctrlProp3.xml><?xml version="1.0" encoding="utf-8"?>
<formControlPr xmlns="http://schemas.microsoft.com/office/spreadsheetml/2009/9/main" objectType="Spin" dx="19" fmlaLink="$J$52" max="6" min="3" page="10" val="3"/>
</file>

<file path=xl/ctrlProps/ctrlProp4.xml><?xml version="1.0" encoding="utf-8"?>
<formControlPr xmlns="http://schemas.microsoft.com/office/spreadsheetml/2009/9/main" objectType="Spin" dx="19" fmlaLink="$J$51" inc="5" max="2000" page="10" val="0"/>
</file>

<file path=xl/ctrlProps/ctrlProp5.xml><?xml version="1.0" encoding="utf-8"?>
<formControlPr xmlns="http://schemas.microsoft.com/office/spreadsheetml/2009/9/main" objectType="Spin" dx="19" fmlaLink="$J$47" inc="10" max="5000" page="10" val="125"/>
</file>

<file path=xl/ctrlProps/ctrlProp6.xml><?xml version="1.0" encoding="utf-8"?>
<formControlPr xmlns="http://schemas.microsoft.com/office/spreadsheetml/2009/9/main" objectType="Spin" dx="19" fmlaLink="$J$48" inc="5" max="2000" page="1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hyperlink" Target="http://www.naxpro-truss.de/" TargetMode="Externa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619125</xdr:colOff>
      <xdr:row>53</xdr:row>
      <xdr:rowOff>295275</xdr:rowOff>
    </xdr:from>
    <xdr:to>
      <xdr:col>9</xdr:col>
      <xdr:colOff>676275</xdr:colOff>
      <xdr:row>67</xdr:row>
      <xdr:rowOff>66675</xdr:rowOff>
    </xdr:to>
    <xdr:graphicFrame macro="">
      <xdr:nvGraphicFramePr>
        <xdr:cNvPr id="1469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661987</xdr:colOff>
      <xdr:row>53</xdr:row>
      <xdr:rowOff>295275</xdr:rowOff>
    </xdr:from>
    <xdr:to>
      <xdr:col>13</xdr:col>
      <xdr:colOff>642937</xdr:colOff>
      <xdr:row>67</xdr:row>
      <xdr:rowOff>66675</xdr:rowOff>
    </xdr:to>
    <xdr:graphicFrame macro="">
      <xdr:nvGraphicFramePr>
        <xdr:cNvPr id="1470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266700</xdr:colOff>
      <xdr:row>19</xdr:row>
      <xdr:rowOff>190500</xdr:rowOff>
    </xdr:from>
    <xdr:to>
      <xdr:col>1</xdr:col>
      <xdr:colOff>371475</xdr:colOff>
      <xdr:row>20</xdr:row>
      <xdr:rowOff>180975</xdr:rowOff>
    </xdr:to>
    <xdr:sp macro="" textlink="">
      <xdr:nvSpPr>
        <xdr:cNvPr id="1471" name="Text Box 31"/>
        <xdr:cNvSpPr txBox="1">
          <a:spLocks noChangeArrowheads="1"/>
        </xdr:cNvSpPr>
      </xdr:nvSpPr>
      <xdr:spPr bwMode="auto">
        <a:xfrm>
          <a:off x="2171700" y="36099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1828800</xdr:colOff>
          <xdr:row>20</xdr:row>
          <xdr:rowOff>133350</xdr:rowOff>
        </xdr:from>
        <xdr:to>
          <xdr:col>2</xdr:col>
          <xdr:colOff>838200</xdr:colOff>
          <xdr:row>22</xdr:row>
          <xdr:rowOff>95250</xdr:rowOff>
        </xdr:to>
        <xdr:sp macro="" textlink="">
          <xdr:nvSpPr>
            <xdr:cNvPr id="1093" name="Drop Down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36</xdr:row>
          <xdr:rowOff>114300</xdr:rowOff>
        </xdr:from>
        <xdr:to>
          <xdr:col>9</xdr:col>
          <xdr:colOff>266700</xdr:colOff>
          <xdr:row>38</xdr:row>
          <xdr:rowOff>0</xdr:rowOff>
        </xdr:to>
        <xdr:sp macro="" textlink="">
          <xdr:nvSpPr>
            <xdr:cNvPr id="1097" name="Spinner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1647825</xdr:colOff>
          <xdr:row>50</xdr:row>
          <xdr:rowOff>0</xdr:rowOff>
        </xdr:from>
        <xdr:to>
          <xdr:col>9</xdr:col>
          <xdr:colOff>171450</xdr:colOff>
          <xdr:row>52</xdr:row>
          <xdr:rowOff>0</xdr:rowOff>
        </xdr:to>
        <xdr:sp macro="" textlink="">
          <xdr:nvSpPr>
            <xdr:cNvPr id="1098" name="Spinner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50</xdr:row>
          <xdr:rowOff>0</xdr:rowOff>
        </xdr:from>
        <xdr:to>
          <xdr:col>9</xdr:col>
          <xdr:colOff>352425</xdr:colOff>
          <xdr:row>52</xdr:row>
          <xdr:rowOff>0</xdr:rowOff>
        </xdr:to>
        <xdr:sp macro="" textlink="">
          <xdr:nvSpPr>
            <xdr:cNvPr id="1100" name="Spinner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46</xdr:row>
          <xdr:rowOff>0</xdr:rowOff>
        </xdr:from>
        <xdr:to>
          <xdr:col>9</xdr:col>
          <xdr:colOff>133350</xdr:colOff>
          <xdr:row>47</xdr:row>
          <xdr:rowOff>0</xdr:rowOff>
        </xdr:to>
        <xdr:sp macro="" textlink="">
          <xdr:nvSpPr>
            <xdr:cNvPr id="1101" name="Spinner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47</xdr:row>
          <xdr:rowOff>0</xdr:rowOff>
        </xdr:from>
        <xdr:to>
          <xdr:col>9</xdr:col>
          <xdr:colOff>133350</xdr:colOff>
          <xdr:row>48</xdr:row>
          <xdr:rowOff>0</xdr:rowOff>
        </xdr:to>
        <xdr:sp macro="" textlink="">
          <xdr:nvSpPr>
            <xdr:cNvPr id="1102" name="Spinner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19050</xdr:colOff>
      <xdr:row>58</xdr:row>
      <xdr:rowOff>76200</xdr:rowOff>
    </xdr:from>
    <xdr:to>
      <xdr:col>3</xdr:col>
      <xdr:colOff>104775</xdr:colOff>
      <xdr:row>69</xdr:row>
      <xdr:rowOff>123825</xdr:rowOff>
    </xdr:to>
    <xdr:graphicFrame macro="">
      <xdr:nvGraphicFramePr>
        <xdr:cNvPr id="1472" name="Diagramm 8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38100</xdr:rowOff>
    </xdr:from>
    <xdr:to>
      <xdr:col>11</xdr:col>
      <xdr:colOff>514350</xdr:colOff>
      <xdr:row>15</xdr:row>
      <xdr:rowOff>142875</xdr:rowOff>
    </xdr:to>
    <xdr:pic>
      <xdr:nvPicPr>
        <xdr:cNvPr id="1473" name="Grafik 20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58" t="41229" r="7211" b="31100"/>
        <a:stretch>
          <a:fillRect/>
        </a:stretch>
      </xdr:blipFill>
      <xdr:spPr bwMode="auto">
        <a:xfrm>
          <a:off x="0" y="38100"/>
          <a:ext cx="11534775" cy="276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26</xdr:row>
          <xdr:rowOff>180975</xdr:rowOff>
        </xdr:from>
        <xdr:to>
          <xdr:col>9</xdr:col>
          <xdr:colOff>485775</xdr:colOff>
          <xdr:row>32</xdr:row>
          <xdr:rowOff>180975</xdr:rowOff>
        </xdr:to>
        <xdr:sp macro="" textlink="">
          <xdr:nvSpPr>
            <xdr:cNvPr id="1456" name="Bild 15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26</xdr:row>
          <xdr:rowOff>171450</xdr:rowOff>
        </xdr:from>
        <xdr:to>
          <xdr:col>13</xdr:col>
          <xdr:colOff>276225</xdr:colOff>
          <xdr:row>32</xdr:row>
          <xdr:rowOff>171450</xdr:rowOff>
        </xdr:to>
        <xdr:sp macro="" textlink="">
          <xdr:nvSpPr>
            <xdr:cNvPr id="1457" name="Bild 1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26</xdr:row>
          <xdr:rowOff>161925</xdr:rowOff>
        </xdr:from>
        <xdr:to>
          <xdr:col>16</xdr:col>
          <xdr:colOff>533400</xdr:colOff>
          <xdr:row>32</xdr:row>
          <xdr:rowOff>171450</xdr:rowOff>
        </xdr:to>
        <xdr:sp macro="" textlink="">
          <xdr:nvSpPr>
            <xdr:cNvPr id="1458" name="Bild 1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0.66744</cdr:x>
      <cdr:y>0.3195</cdr:y>
    </cdr:from>
    <cdr:to>
      <cdr:x>0.86742</cdr:x>
      <cdr:y>0.51502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2725" y="958620"/>
          <a:ext cx="824797" cy="586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Gesamtlast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13" Type="http://schemas.openxmlformats.org/officeDocument/2006/relationships/ctrlProp" Target="../ctrlProps/ctrlProp1.xml"/><Relationship Id="rId18" Type="http://schemas.openxmlformats.org/officeDocument/2006/relationships/ctrlProp" Target="../ctrlProps/ctrlProp6.xml"/><Relationship Id="rId3" Type="http://schemas.openxmlformats.org/officeDocument/2006/relationships/hyperlink" Target="http://www.expo-engineering.de/" TargetMode="External"/><Relationship Id="rId7" Type="http://schemas.openxmlformats.org/officeDocument/2006/relationships/oleObject" Target="../embeddings/oleObject1.bin"/><Relationship Id="rId12" Type="http://schemas.openxmlformats.org/officeDocument/2006/relationships/image" Target="../media/image3.emf"/><Relationship Id="rId17" Type="http://schemas.openxmlformats.org/officeDocument/2006/relationships/ctrlProp" Target="../ctrlProps/ctrlProp5.xml"/><Relationship Id="rId2" Type="http://schemas.openxmlformats.org/officeDocument/2006/relationships/hyperlink" Target="http://www.expo-engineering.de/" TargetMode="External"/><Relationship Id="rId16" Type="http://schemas.openxmlformats.org/officeDocument/2006/relationships/ctrlProp" Target="../ctrlProps/ctrlProp4.xml"/><Relationship Id="rId1" Type="http://schemas.openxmlformats.org/officeDocument/2006/relationships/hyperlink" Target="http://www.expo-engineering.de/" TargetMode="External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3.bin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3.xml"/><Relationship Id="rId10" Type="http://schemas.openxmlformats.org/officeDocument/2006/relationships/image" Target="../media/image2.emf"/><Relationship Id="rId4" Type="http://schemas.openxmlformats.org/officeDocument/2006/relationships/printerSettings" Target="../printerSettings/printerSettings1.bin"/><Relationship Id="rId9" Type="http://schemas.openxmlformats.org/officeDocument/2006/relationships/oleObject" Target="../embeddings/oleObject2.bin"/><Relationship Id="rId1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"/>
  <sheetViews>
    <sheetView workbookViewId="0">
      <selection activeCell="C52" sqref="C52"/>
    </sheetView>
  </sheetViews>
  <sheetFormatPr baseColWidth="10" defaultRowHeight="12.75" x14ac:dyDescent="0.2"/>
  <sheetData>
    <row r="1" spans="1:1" x14ac:dyDescent="0.2">
      <c r="A1" s="3" t="s">
        <v>34</v>
      </c>
    </row>
  </sheetData>
  <sheetProtection password="DC49" sheet="1" objects="1" scenarios="1"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Z288"/>
  <sheetViews>
    <sheetView tabSelected="1" zoomScaleNormal="100" workbookViewId="0">
      <selection activeCell="E22" sqref="E22"/>
    </sheetView>
  </sheetViews>
  <sheetFormatPr baseColWidth="10" defaultColWidth="11.5703125" defaultRowHeight="12.75" x14ac:dyDescent="0.2"/>
  <cols>
    <col min="1" max="1" width="28.5703125" style="9" customWidth="1"/>
    <col min="2" max="2" width="11.5703125" style="9"/>
    <col min="3" max="3" width="13.7109375" style="9" customWidth="1"/>
    <col min="4" max="4" width="6.5703125" style="9" customWidth="1"/>
    <col min="5" max="5" width="30.42578125" style="9" customWidth="1"/>
    <col min="6" max="6" width="9" style="9" customWidth="1"/>
    <col min="7" max="7" width="13" style="9" customWidth="1"/>
    <col min="8" max="8" width="9.42578125" style="9" customWidth="1"/>
    <col min="9" max="9" width="24.85546875" style="9" customWidth="1"/>
    <col min="10" max="10" width="10.7109375" style="9" customWidth="1"/>
    <col min="11" max="11" width="7.42578125" style="9" customWidth="1"/>
    <col min="12" max="12" width="11.5703125" style="9"/>
    <col min="13" max="13" width="5.7109375" style="9" customWidth="1"/>
    <col min="14" max="14" width="11.5703125" style="9"/>
    <col min="15" max="15" width="5.7109375" style="9" customWidth="1"/>
    <col min="16" max="23" width="11.5703125" style="9"/>
    <col min="24" max="24" width="13" style="9" customWidth="1"/>
    <col min="25" max="39" width="11.5703125" style="9"/>
    <col min="40" max="40" width="14.85546875" style="9" customWidth="1"/>
    <col min="41" max="41" width="14" style="9" customWidth="1"/>
    <col min="42" max="42" width="12.42578125" style="9" customWidth="1"/>
    <col min="43" max="43" width="13.5703125" style="9" customWidth="1"/>
    <col min="44" max="44" width="11.7109375" style="9" customWidth="1"/>
    <col min="45" max="16384" width="11.5703125" style="9"/>
  </cols>
  <sheetData>
    <row r="1" spans="1:52" x14ac:dyDescent="0.2">
      <c r="N1" s="10"/>
      <c r="O1" s="11"/>
      <c r="P1" s="11"/>
      <c r="Q1" s="11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</row>
    <row r="2" spans="1:52" x14ac:dyDescent="0.2">
      <c r="N2" s="10"/>
      <c r="O2" s="11"/>
      <c r="P2" s="11"/>
      <c r="Q2" s="11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</row>
    <row r="3" spans="1:52" x14ac:dyDescent="0.2">
      <c r="N3" s="10"/>
      <c r="O3" s="11"/>
      <c r="P3" s="11"/>
      <c r="Q3" s="11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</row>
    <row r="4" spans="1:52" x14ac:dyDescent="0.2">
      <c r="N4" s="10"/>
      <c r="O4" s="11"/>
      <c r="P4" s="11"/>
      <c r="Q4" s="11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</row>
    <row r="5" spans="1:52" x14ac:dyDescent="0.2">
      <c r="N5" s="10"/>
      <c r="O5" s="11"/>
      <c r="P5" s="11"/>
      <c r="Q5" s="11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</row>
    <row r="6" spans="1:52" x14ac:dyDescent="0.2">
      <c r="I6" s="12"/>
      <c r="N6" s="10"/>
      <c r="O6" s="11"/>
      <c r="P6" s="11"/>
      <c r="Q6" s="11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</row>
    <row r="7" spans="1:52" x14ac:dyDescent="0.2">
      <c r="N7" s="10"/>
      <c r="O7" s="11"/>
      <c r="P7" s="11"/>
      <c r="Q7" s="11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</row>
    <row r="8" spans="1:52" ht="15" x14ac:dyDescent="0.2">
      <c r="A8" s="13"/>
      <c r="E8" s="13"/>
      <c r="F8" s="12"/>
      <c r="I8" s="13"/>
      <c r="N8" s="10"/>
      <c r="O8" s="11"/>
      <c r="P8" s="11"/>
      <c r="Q8" s="11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</row>
    <row r="9" spans="1:52" ht="15" x14ac:dyDescent="0.2">
      <c r="A9" s="13"/>
      <c r="E9" s="13"/>
      <c r="I9" s="13"/>
      <c r="J9" s="12"/>
      <c r="N9" s="10"/>
      <c r="O9" s="11"/>
      <c r="P9" s="11"/>
      <c r="Q9" s="11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</row>
    <row r="10" spans="1:52" ht="15" x14ac:dyDescent="0.2">
      <c r="B10" s="14"/>
      <c r="C10" s="14"/>
      <c r="D10" s="14"/>
      <c r="F10" s="14"/>
      <c r="G10" s="14"/>
      <c r="H10" s="14"/>
      <c r="J10" s="14"/>
      <c r="K10" s="14"/>
      <c r="L10" s="14"/>
      <c r="M10" s="14"/>
      <c r="N10" s="10"/>
      <c r="O10" s="11"/>
      <c r="P10" s="11"/>
      <c r="Q10" s="11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</row>
    <row r="11" spans="1:52" ht="15" x14ac:dyDescent="0.2">
      <c r="A11" s="15"/>
      <c r="B11" s="14"/>
      <c r="C11" s="14"/>
      <c r="D11" s="14"/>
      <c r="E11" s="15"/>
      <c r="F11" s="14"/>
      <c r="G11" s="14"/>
      <c r="H11" s="14"/>
      <c r="I11" s="15"/>
      <c r="J11" s="14"/>
      <c r="K11" s="14"/>
      <c r="L11" s="14"/>
      <c r="M11" s="14"/>
      <c r="N11" s="10"/>
      <c r="O11" s="11"/>
      <c r="P11" s="11"/>
      <c r="Q11" s="11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</row>
    <row r="12" spans="1:52" ht="15" x14ac:dyDescent="0.2">
      <c r="A12" s="15" t="s">
        <v>76</v>
      </c>
      <c r="B12" s="14"/>
      <c r="C12" s="14"/>
      <c r="D12" s="14"/>
      <c r="E12" s="15" t="s">
        <v>76</v>
      </c>
      <c r="F12" s="14"/>
      <c r="G12" s="14"/>
      <c r="H12" s="14"/>
      <c r="I12" s="15" t="s">
        <v>76</v>
      </c>
      <c r="J12" s="14"/>
      <c r="K12" s="14"/>
      <c r="L12" s="14"/>
      <c r="M12" s="14"/>
      <c r="N12" s="10"/>
      <c r="O12" s="11"/>
      <c r="P12" s="11"/>
      <c r="Q12" s="11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</row>
    <row r="13" spans="1:52" s="15" customFormat="1" ht="15" x14ac:dyDescent="0.2">
      <c r="A13" s="16"/>
      <c r="B13" s="16"/>
      <c r="C13" s="16"/>
      <c r="E13" s="16"/>
      <c r="F13" s="16"/>
      <c r="G13" s="16"/>
      <c r="H13" s="16"/>
      <c r="I13" s="16"/>
      <c r="J13" s="16"/>
      <c r="K13" s="16"/>
      <c r="L13" s="16"/>
      <c r="N13" s="17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</row>
    <row r="14" spans="1:52" s="15" customFormat="1" ht="15" x14ac:dyDescent="0.2">
      <c r="A14" s="18" t="s">
        <v>132</v>
      </c>
      <c r="B14" s="16"/>
      <c r="C14" s="16"/>
      <c r="E14" s="18" t="s">
        <v>132</v>
      </c>
      <c r="F14" s="16"/>
      <c r="G14" s="16"/>
      <c r="H14" s="16"/>
      <c r="I14" s="18" t="s">
        <v>132</v>
      </c>
      <c r="J14" s="16"/>
      <c r="K14" s="16"/>
      <c r="L14" s="16"/>
      <c r="N14" s="17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</row>
    <row r="15" spans="1:52" s="15" customFormat="1" ht="15" x14ac:dyDescent="0.2">
      <c r="A15" s="19" t="str">
        <f>IF(OR((J48*9.81/1000+C37)*J38^2/8+(J47*9.81/1000)*J38/4+(J51*9.81/1000)*J38/N53&gt;C57,J56&gt;C58),"Verwenden Sie ein anderes Eurotruss System für die Last!","")</f>
        <v/>
      </c>
      <c r="B15" s="16"/>
      <c r="C15" s="16"/>
      <c r="E15" s="20" t="str">
        <f>IF(OR((J48*9.81/1000+C37)*J38^2/8+(J47*9.81/1000)*J38/4+(J51*9.81/1000)*J38/N53&gt;C57,J56&gt;C58),"Verwenden Sie ein anderes Eurotruss System für die Last!","")</f>
        <v/>
      </c>
      <c r="F15" s="16"/>
      <c r="G15" s="16"/>
      <c r="H15" s="16"/>
      <c r="I15" s="20" t="str">
        <f>IF(OR((J48*9.81/1000+C37)*J38^2/8+(J47*9.81/1000)*J38/4+(J51*9.81/1000)*J38/N53&gt;C57,J56&gt;C58),"Verwenden Sie ein anderes Eurotruss System für die Last!","")</f>
        <v/>
      </c>
      <c r="J15" s="16"/>
      <c r="K15" s="16"/>
      <c r="L15" s="16"/>
      <c r="N15" s="17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</row>
    <row r="16" spans="1:52" s="15" customFormat="1" ht="15" x14ac:dyDescent="0.2">
      <c r="A16" s="16"/>
      <c r="B16" s="16"/>
      <c r="C16" s="16"/>
      <c r="E16" s="16"/>
      <c r="F16" s="16"/>
      <c r="G16" s="16"/>
      <c r="H16" s="16"/>
      <c r="I16" s="16"/>
      <c r="J16" s="16"/>
      <c r="K16" s="16"/>
      <c r="L16" s="16"/>
      <c r="N16" s="17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</row>
    <row r="17" spans="1:52" s="15" customFormat="1" ht="15" x14ac:dyDescent="0.2">
      <c r="A17" s="16" t="s">
        <v>162</v>
      </c>
      <c r="B17" s="16"/>
      <c r="C17" s="16"/>
      <c r="E17" s="16"/>
      <c r="F17" s="16"/>
      <c r="G17" s="16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</row>
    <row r="18" spans="1:52" s="15" customFormat="1" ht="15" x14ac:dyDescent="0.2">
      <c r="A18" s="16"/>
      <c r="B18" s="16"/>
      <c r="C18" s="16"/>
      <c r="E18" s="16"/>
      <c r="F18" s="16"/>
      <c r="G18" s="16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</row>
    <row r="19" spans="1:52" s="15" customFormat="1" ht="15" x14ac:dyDescent="0.2">
      <c r="A19" s="16"/>
      <c r="B19" s="16"/>
      <c r="C19" s="16"/>
      <c r="E19" s="16"/>
      <c r="F19" s="16"/>
      <c r="G19" s="16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</row>
    <row r="20" spans="1:52" s="15" customFormat="1" ht="18" x14ac:dyDescent="0.25">
      <c r="A20" s="21" t="s">
        <v>139</v>
      </c>
      <c r="B20" s="9"/>
      <c r="C20" s="9"/>
      <c r="D20" s="9"/>
      <c r="E20" s="16"/>
      <c r="F20" s="16"/>
      <c r="G20" s="16"/>
      <c r="I20" s="11" t="s">
        <v>133</v>
      </c>
      <c r="J20" s="22"/>
      <c r="K20" s="22"/>
      <c r="L20" s="22"/>
      <c r="M20" s="22"/>
      <c r="N20" s="22"/>
      <c r="O20" s="17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</row>
    <row r="21" spans="1:52" s="15" customFormat="1" ht="18" x14ac:dyDescent="0.25">
      <c r="A21" s="23"/>
      <c r="B21" s="9"/>
      <c r="C21" s="9"/>
      <c r="D21" s="9"/>
      <c r="E21" s="16"/>
      <c r="F21" s="16"/>
      <c r="G21" s="16"/>
      <c r="I21" s="11" t="s">
        <v>134</v>
      </c>
      <c r="J21" s="22"/>
      <c r="K21" s="22"/>
      <c r="L21" s="22"/>
      <c r="M21" s="22"/>
      <c r="N21" s="22"/>
      <c r="O21" s="17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</row>
    <row r="22" spans="1:52" s="15" customFormat="1" ht="15" x14ac:dyDescent="0.2">
      <c r="A22" s="9" t="s">
        <v>77</v>
      </c>
      <c r="B22" s="24" t="str">
        <f>LOOKUP(AB152,AA120:AA149,AB120:AB149)</f>
        <v>HD34</v>
      </c>
      <c r="C22" s="17" t="str">
        <f>IF(B22="FD32","ask your dealer",IF(B22="FD42","ask your dealer",IF(B22="expoline","ask your dealer","")))</f>
        <v/>
      </c>
      <c r="D22" s="9"/>
      <c r="E22" s="16"/>
      <c r="F22" s="16"/>
      <c r="G22" s="16"/>
      <c r="I22" s="9"/>
      <c r="J22" s="22"/>
      <c r="K22" s="22"/>
      <c r="L22" s="22"/>
      <c r="M22" s="22"/>
      <c r="N22" s="22"/>
      <c r="O22" s="17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</row>
    <row r="23" spans="1:52" s="15" customFormat="1" ht="15" x14ac:dyDescent="0.2">
      <c r="A23" s="9"/>
      <c r="B23" s="9"/>
      <c r="C23" s="9"/>
      <c r="D23" s="9"/>
      <c r="E23" s="16"/>
      <c r="F23" s="16"/>
      <c r="G23" s="16"/>
      <c r="I23" s="11" t="s">
        <v>135</v>
      </c>
      <c r="J23" s="22"/>
      <c r="K23" s="22"/>
      <c r="L23" s="22"/>
      <c r="M23" s="22"/>
      <c r="N23" s="22"/>
      <c r="O23" s="17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</row>
    <row r="24" spans="1:52" s="15" customFormat="1" ht="15" x14ac:dyDescent="0.2">
      <c r="A24" s="9"/>
      <c r="B24" s="9"/>
      <c r="C24" s="9"/>
      <c r="D24" s="9"/>
      <c r="E24" s="16"/>
      <c r="F24" s="16"/>
      <c r="G24" s="16"/>
      <c r="H24" s="16"/>
      <c r="I24" s="11" t="s">
        <v>136</v>
      </c>
      <c r="J24" s="22"/>
      <c r="K24" s="22"/>
      <c r="L24" s="22"/>
      <c r="M24" s="22"/>
      <c r="N24" s="22"/>
      <c r="O24" s="17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</row>
    <row r="25" spans="1:52" s="15" customFormat="1" ht="15" x14ac:dyDescent="0.2">
      <c r="A25" s="9"/>
      <c r="B25" s="9"/>
      <c r="C25" s="9"/>
      <c r="D25" s="9"/>
      <c r="E25" s="16"/>
      <c r="F25" s="16"/>
      <c r="G25" s="16"/>
      <c r="H25" s="16"/>
      <c r="I25" s="11" t="s">
        <v>137</v>
      </c>
      <c r="J25" s="22"/>
      <c r="K25" s="22"/>
      <c r="L25" s="22"/>
      <c r="M25" s="22"/>
      <c r="N25" s="22"/>
      <c r="O25" s="17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</row>
    <row r="26" spans="1:52" s="15" customFormat="1" ht="15" x14ac:dyDescent="0.2">
      <c r="A26" s="25" t="s">
        <v>140</v>
      </c>
      <c r="B26" s="9"/>
      <c r="C26" s="9"/>
      <c r="D26" s="9"/>
      <c r="E26" s="16"/>
      <c r="F26" s="16"/>
      <c r="G26" s="16"/>
      <c r="H26" s="16"/>
      <c r="I26" s="11" t="s">
        <v>138</v>
      </c>
      <c r="J26" s="22"/>
      <c r="K26" s="22"/>
      <c r="L26" s="22"/>
      <c r="M26" s="22"/>
      <c r="N26" s="22"/>
      <c r="O26" s="17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</row>
    <row r="27" spans="1:52" s="15" customFormat="1" ht="15" x14ac:dyDescent="0.2">
      <c r="A27" s="11" t="s">
        <v>78</v>
      </c>
      <c r="B27" s="9"/>
      <c r="C27" s="9">
        <f>VLOOKUP(B22,AB120:AR149,2,0)</f>
        <v>4</v>
      </c>
      <c r="D27" s="9"/>
      <c r="E27" s="16"/>
      <c r="F27" s="16"/>
      <c r="G27" s="16"/>
      <c r="H27" s="16"/>
      <c r="I27" s="11"/>
      <c r="J27" s="22"/>
      <c r="K27" s="22"/>
      <c r="L27" s="22"/>
      <c r="M27" s="22"/>
      <c r="N27" s="22"/>
      <c r="O27" s="17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</row>
    <row r="28" spans="1:52" s="15" customFormat="1" ht="15" x14ac:dyDescent="0.2">
      <c r="A28" s="11" t="s">
        <v>160</v>
      </c>
      <c r="B28" s="9" t="s">
        <v>4</v>
      </c>
      <c r="C28" s="9">
        <f>VLOOKUP(B22,AB120:AR149,7,0)</f>
        <v>240</v>
      </c>
      <c r="D28" s="9"/>
      <c r="E28" s="16"/>
      <c r="F28" s="16"/>
      <c r="G28" s="16"/>
      <c r="H28" s="16"/>
      <c r="I28" s="11"/>
      <c r="J28" s="22"/>
      <c r="K28" s="22"/>
      <c r="L28" s="22"/>
      <c r="M28" s="22"/>
      <c r="N28" s="22"/>
      <c r="O28" s="17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</row>
    <row r="29" spans="1:52" s="15" customFormat="1" ht="15" x14ac:dyDescent="0.2">
      <c r="A29" s="11" t="s">
        <v>161</v>
      </c>
      <c r="B29" s="9" t="s">
        <v>4</v>
      </c>
      <c r="C29" s="9">
        <f>VLOOKUP(B22,AB120:AR149,8,0)</f>
        <v>240</v>
      </c>
      <c r="D29" s="9"/>
      <c r="E29" s="16"/>
      <c r="F29" s="16"/>
      <c r="G29" s="16"/>
      <c r="H29" s="16"/>
      <c r="I29" s="11"/>
      <c r="J29" s="22"/>
      <c r="K29" s="22"/>
      <c r="L29" s="22"/>
      <c r="M29" s="22"/>
      <c r="N29" s="22"/>
      <c r="O29" s="17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</row>
    <row r="30" spans="1:52" s="15" customFormat="1" ht="15" x14ac:dyDescent="0.2">
      <c r="A30" s="11" t="s">
        <v>79</v>
      </c>
      <c r="B30" s="9" t="s">
        <v>141</v>
      </c>
      <c r="C30" s="26" t="str">
        <f>VLOOKUP(B22,AB120:AR149,11,0)</f>
        <v>Conus</v>
      </c>
      <c r="D30" s="9"/>
      <c r="E30" s="16"/>
      <c r="F30" s="16"/>
      <c r="G30" s="16"/>
      <c r="H30" s="16"/>
      <c r="I30" s="11"/>
      <c r="J30" s="22"/>
      <c r="K30" s="22"/>
      <c r="L30" s="22"/>
      <c r="M30" s="22"/>
      <c r="N30" s="22"/>
      <c r="O30" s="17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</row>
    <row r="31" spans="1:52" s="15" customFormat="1" ht="15" x14ac:dyDescent="0.2">
      <c r="A31" s="11" t="s">
        <v>80</v>
      </c>
      <c r="B31" s="9" t="s">
        <v>4</v>
      </c>
      <c r="C31" s="9">
        <f>VLOOKUP(B22,AB120:AR149,3,0)</f>
        <v>50</v>
      </c>
      <c r="D31" s="9"/>
      <c r="E31" s="16"/>
      <c r="F31" s="16"/>
      <c r="G31" s="16"/>
      <c r="H31" s="16"/>
      <c r="I31" s="11"/>
      <c r="J31" s="22"/>
      <c r="K31" s="22"/>
      <c r="L31" s="22"/>
      <c r="M31" s="22"/>
      <c r="N31" s="22"/>
      <c r="O31" s="17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</row>
    <row r="32" spans="1:52" s="15" customFormat="1" ht="15" x14ac:dyDescent="0.2">
      <c r="A32" s="11" t="s">
        <v>81</v>
      </c>
      <c r="B32" s="9" t="s">
        <v>4</v>
      </c>
      <c r="C32" s="9">
        <f>VLOOKUP(B22,AB120:AR149,4,0)</f>
        <v>3</v>
      </c>
      <c r="D32" s="9"/>
      <c r="E32" s="16"/>
      <c r="F32" s="16"/>
      <c r="G32" s="16"/>
      <c r="H32" s="16"/>
      <c r="I32" s="11"/>
      <c r="J32" s="22"/>
      <c r="K32" s="22"/>
      <c r="L32" s="22"/>
      <c r="M32" s="22"/>
      <c r="N32" s="22"/>
      <c r="O32" s="17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</row>
    <row r="33" spans="1:52" s="15" customFormat="1" ht="15" x14ac:dyDescent="0.2">
      <c r="A33" s="11" t="s">
        <v>82</v>
      </c>
      <c r="B33" s="9" t="s">
        <v>4</v>
      </c>
      <c r="C33" s="26">
        <f>VLOOKUP(B22,AB120:AR149,5,0)</f>
        <v>20</v>
      </c>
      <c r="D33" s="9"/>
      <c r="E33" s="16"/>
      <c r="F33" s="16"/>
      <c r="G33" s="16"/>
      <c r="H33" s="16"/>
      <c r="I33" s="11"/>
      <c r="J33" s="22"/>
      <c r="K33" s="22"/>
      <c r="L33" s="22"/>
      <c r="M33" s="22"/>
      <c r="N33" s="22"/>
      <c r="O33" s="17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</row>
    <row r="34" spans="1:52" s="15" customFormat="1" ht="15" x14ac:dyDescent="0.2">
      <c r="A34" s="11" t="s">
        <v>83</v>
      </c>
      <c r="B34" s="27" t="s">
        <v>4</v>
      </c>
      <c r="C34" s="26">
        <f>VLOOKUP(B22,AB120:AR149,6,0)</f>
        <v>2</v>
      </c>
      <c r="D34" s="9"/>
      <c r="E34" s="16"/>
      <c r="F34" s="16"/>
      <c r="G34" s="16"/>
      <c r="H34" s="16"/>
      <c r="I34" s="16"/>
      <c r="J34" s="16"/>
      <c r="K34" s="16"/>
      <c r="L34" s="16"/>
      <c r="N34" s="17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</row>
    <row r="35" spans="1:52" ht="15" x14ac:dyDescent="0.2">
      <c r="A35" s="11" t="s">
        <v>84</v>
      </c>
      <c r="B35" s="9" t="s">
        <v>4</v>
      </c>
      <c r="C35" s="9" t="str">
        <f>VLOOKUP(B22,AB120:AR149,9,0)</f>
        <v>10.9</v>
      </c>
      <c r="E35" s="15"/>
      <c r="N35" s="10"/>
      <c r="O35" s="11"/>
      <c r="P35" s="11"/>
      <c r="Q35" s="11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</row>
    <row r="36" spans="1:52" ht="18" x14ac:dyDescent="0.25">
      <c r="A36" s="11" t="s">
        <v>85</v>
      </c>
      <c r="C36" s="26" t="str">
        <f>VLOOKUP(B22,AB120:AR149,10,0)</f>
        <v>EN AW-6082 T6</v>
      </c>
      <c r="I36" s="21" t="s">
        <v>1</v>
      </c>
      <c r="N36" s="10"/>
      <c r="O36" s="11"/>
      <c r="P36" s="11"/>
      <c r="Q36" s="11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</row>
    <row r="37" spans="1:52" x14ac:dyDescent="0.2">
      <c r="A37" s="11" t="s">
        <v>86</v>
      </c>
      <c r="B37" s="9" t="s">
        <v>10</v>
      </c>
      <c r="C37" s="28">
        <f>VLOOKUP(B22,AB120:AR149,12,0)</f>
        <v>7.4999999999999997E-2</v>
      </c>
      <c r="I37" s="29"/>
      <c r="J37" s="30"/>
      <c r="K37" s="30"/>
      <c r="L37" s="31" t="s">
        <v>100</v>
      </c>
      <c r="M37" s="30"/>
      <c r="N37" s="32"/>
      <c r="O37" s="33"/>
      <c r="P37" s="11"/>
      <c r="Q37" s="11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</row>
    <row r="38" spans="1:52" ht="15" x14ac:dyDescent="0.2">
      <c r="I38" s="34" t="s">
        <v>99</v>
      </c>
      <c r="J38" s="35">
        <v>6</v>
      </c>
      <c r="K38" s="36" t="s">
        <v>2</v>
      </c>
      <c r="L38" s="37" t="str">
        <f>B22</f>
        <v>HD34</v>
      </c>
      <c r="M38" s="36"/>
      <c r="N38" s="38" t="str">
        <f>IF(B22="FD32","ask your dealer",IF(B22="FD42","ask your dealer",IF(B22="expoline","ask your dealer","")))</f>
        <v/>
      </c>
      <c r="O38" s="39"/>
      <c r="P38" s="11"/>
      <c r="Q38" s="11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</row>
    <row r="39" spans="1:52" x14ac:dyDescent="0.2">
      <c r="N39" s="10"/>
      <c r="O39" s="11"/>
      <c r="P39" s="11"/>
      <c r="Q39" s="11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</row>
    <row r="40" spans="1:52" ht="18" x14ac:dyDescent="0.25">
      <c r="A40" s="21" t="s">
        <v>87</v>
      </c>
      <c r="J40" s="40" t="s">
        <v>126</v>
      </c>
      <c r="K40" s="41"/>
      <c r="L40" s="42" t="s">
        <v>105</v>
      </c>
      <c r="M40" s="41"/>
      <c r="N40" s="10"/>
      <c r="O40" s="11"/>
      <c r="P40" s="11"/>
      <c r="Q40" s="11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</row>
    <row r="41" spans="1:52" x14ac:dyDescent="0.2">
      <c r="A41" s="43" t="s">
        <v>141</v>
      </c>
      <c r="J41" s="44"/>
      <c r="K41" s="45"/>
      <c r="L41" s="44"/>
      <c r="M41" s="45"/>
      <c r="N41" s="10"/>
      <c r="O41" s="11"/>
      <c r="P41" s="57"/>
      <c r="Q41" s="57" t="s">
        <v>53</v>
      </c>
      <c r="R41" s="57" t="s">
        <v>54</v>
      </c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</row>
    <row r="42" spans="1:52" x14ac:dyDescent="0.2">
      <c r="A42" s="43" t="str">
        <f>L38</f>
        <v>HD34</v>
      </c>
      <c r="I42" s="46" t="s">
        <v>101</v>
      </c>
      <c r="J42" s="47">
        <f>MIN(Q42:R42)/9.81*1000</f>
        <v>1119.9173179295503</v>
      </c>
      <c r="K42" s="48" t="s">
        <v>8</v>
      </c>
      <c r="L42" s="47">
        <f>((J42*9.81)*(J38*1000)^3)/(48*70000*(C50*10^4))+5/384*_g*(J38*1000)^4/((70000*C50*10000))</f>
        <v>27.85304686228886</v>
      </c>
      <c r="M42" s="49" t="s">
        <v>4</v>
      </c>
      <c r="N42" s="10"/>
      <c r="O42" s="11"/>
      <c r="P42" s="57"/>
      <c r="Q42" s="57">
        <f>(2*_V-gf_g*_g*J38)/gf_p</f>
        <v>22.061666666666667</v>
      </c>
      <c r="R42" s="57">
        <f>(_M-gf_g*_g*J38^2/8)*4/(gf_p*J38)</f>
        <v>10.986388888888889</v>
      </c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</row>
    <row r="43" spans="1:52" x14ac:dyDescent="0.2">
      <c r="I43" s="34" t="s">
        <v>102</v>
      </c>
      <c r="J43" s="50">
        <f>MIN(Q43:R43)/9.81*1000</f>
        <v>373.3057726431835</v>
      </c>
      <c r="K43" s="51" t="s">
        <v>3</v>
      </c>
      <c r="L43" s="50">
        <f>(5*(J43/1000*9.81+C37)*((J38*1000)^4))/(384*70000*C50*10000)</f>
        <v>34.642499550360576</v>
      </c>
      <c r="M43" s="52" t="s">
        <v>4</v>
      </c>
      <c r="O43" s="11"/>
      <c r="P43" s="57"/>
      <c r="Q43" s="57">
        <f>(2*_V/J38-gf_g*_g)/gf_p</f>
        <v>3.6769444444444446</v>
      </c>
      <c r="R43" s="57">
        <f>(8*_M/J38^2-gf_g*_g)/gf_p</f>
        <v>3.66212962962963</v>
      </c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</row>
    <row r="44" spans="1:52" x14ac:dyDescent="0.2">
      <c r="I44" s="27"/>
      <c r="J44" s="53"/>
      <c r="K44" s="27"/>
      <c r="L44" s="53"/>
      <c r="M44" s="27"/>
      <c r="N44" s="10"/>
      <c r="O44" s="11"/>
      <c r="P44" s="11"/>
      <c r="Q44" s="11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</row>
    <row r="45" spans="1:52" x14ac:dyDescent="0.2">
      <c r="L45" s="54"/>
      <c r="O45" s="11"/>
      <c r="P45" s="11"/>
      <c r="Q45" s="11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</row>
    <row r="46" spans="1:52" x14ac:dyDescent="0.2">
      <c r="A46" s="25" t="s">
        <v>88</v>
      </c>
      <c r="J46" s="10" t="str">
        <f>IF(J47/2*9.81/1000&gt;C56,"info: hohe lokale Pressung!","")</f>
        <v/>
      </c>
      <c r="L46" s="54"/>
      <c r="O46" s="11"/>
      <c r="P46" s="11"/>
      <c r="Q46" s="11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</row>
    <row r="47" spans="1:52" ht="14.25" x14ac:dyDescent="0.2">
      <c r="A47" s="11" t="s">
        <v>89</v>
      </c>
      <c r="B47" s="9" t="s">
        <v>5</v>
      </c>
      <c r="C47" s="28">
        <f>C27*(3.1416/4*(C31^2-(C31-C32*2)^2)/100)</f>
        <v>17.718623999999998</v>
      </c>
      <c r="I47" s="46" t="s">
        <v>103</v>
      </c>
      <c r="J47" s="85">
        <v>125</v>
      </c>
      <c r="K47" s="31" t="s">
        <v>8</v>
      </c>
      <c r="L47" s="55">
        <f>((J47*9.81)*(J38*1000)^3)/(48*70000*(C50*10^4))</f>
        <v>3.0312294396088646</v>
      </c>
      <c r="M47" s="31" t="s">
        <v>4</v>
      </c>
      <c r="N47" s="31" t="s">
        <v>127</v>
      </c>
      <c r="O47" s="33"/>
      <c r="P47" s="11"/>
      <c r="Q47" s="11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</row>
    <row r="48" spans="1:52" x14ac:dyDescent="0.2">
      <c r="A48" s="11" t="s">
        <v>90</v>
      </c>
      <c r="B48" s="9" t="s">
        <v>6</v>
      </c>
      <c r="C48" s="56">
        <f>IF(C27=4,(C28/10)/2,IF(C27=3,(C28/10)/3,IF(C27=2,(C28/10)/2,C28/2)))</f>
        <v>12</v>
      </c>
      <c r="I48" s="84" t="s">
        <v>104</v>
      </c>
      <c r="J48" s="86">
        <v>0</v>
      </c>
      <c r="K48" s="11" t="s">
        <v>3</v>
      </c>
      <c r="L48" s="54">
        <f>(5*(J48/1000*9.81+C37)*((J38*1000)^4))/(384*70000*C50*10000)</f>
        <v>0.69523611000203311</v>
      </c>
      <c r="M48" s="11" t="s">
        <v>4</v>
      </c>
      <c r="N48" s="11" t="s">
        <v>128</v>
      </c>
      <c r="O48" s="58"/>
      <c r="P48" s="11"/>
      <c r="Q48" s="11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</row>
    <row r="49" spans="1:52" ht="14.25" x14ac:dyDescent="0.2">
      <c r="A49" s="11" t="s">
        <v>91</v>
      </c>
      <c r="B49" s="9" t="s">
        <v>7</v>
      </c>
      <c r="C49" s="28">
        <f>(3.1416/64*(C31^4-(C31-C32*2)^4)/10000)</f>
        <v>12.281221260000001</v>
      </c>
      <c r="I49" s="34" t="s">
        <v>105</v>
      </c>
      <c r="J49" s="87"/>
      <c r="K49" s="87"/>
      <c r="L49" s="59">
        <f>L47+L48</f>
        <v>3.7264655496108978</v>
      </c>
      <c r="M49" s="87" t="s">
        <v>4</v>
      </c>
      <c r="N49" s="87" t="s">
        <v>128</v>
      </c>
      <c r="O49" s="39"/>
      <c r="P49" s="11"/>
      <c r="Q49" s="11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</row>
    <row r="50" spans="1:52" ht="14.25" x14ac:dyDescent="0.2">
      <c r="A50" s="11" t="s">
        <v>93</v>
      </c>
      <c r="B50" s="9" t="s">
        <v>7</v>
      </c>
      <c r="C50" s="28">
        <f>IF(C27=4,C27*(C49+C47/C27*C48^2),IF(C27=3,2*(C49+C47/C27*C48^2)+(C49+C47/C27*(C48*2)^2),IF(C27=2,C27*(C49+C47/C27*C48^2),IF(C27=1,C49))))</f>
        <v>2600.6067410400001</v>
      </c>
      <c r="J50" s="10" t="str">
        <f>IF(J51/2*9.81/1000&gt;C56,"info: high local pressure, point-contact not possible!","")</f>
        <v/>
      </c>
      <c r="O50" s="11"/>
      <c r="P50" s="11"/>
      <c r="Q50" s="11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</row>
    <row r="51" spans="1:52" x14ac:dyDescent="0.2">
      <c r="A51" s="11" t="s">
        <v>92</v>
      </c>
      <c r="B51" s="9" t="s">
        <v>6</v>
      </c>
      <c r="C51" s="28">
        <f>SQRT((C49/(C47/C27)))</f>
        <v>1.6650825805346714</v>
      </c>
      <c r="I51" s="46" t="s">
        <v>107</v>
      </c>
      <c r="J51" s="85">
        <v>0</v>
      </c>
      <c r="K51" s="31" t="s">
        <v>8</v>
      </c>
      <c r="L51" s="31" t="s">
        <v>131</v>
      </c>
      <c r="M51" s="31"/>
      <c r="N51" s="31" t="s">
        <v>129</v>
      </c>
      <c r="O51" s="33"/>
      <c r="P51" s="11"/>
      <c r="Q51" s="11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</row>
    <row r="52" spans="1:52" x14ac:dyDescent="0.2">
      <c r="A52" s="11" t="s">
        <v>94</v>
      </c>
      <c r="B52" s="9" t="s">
        <v>6</v>
      </c>
      <c r="C52" s="28">
        <f>SQRT((C50/C47))</f>
        <v>12.114970078378239</v>
      </c>
      <c r="I52" s="34" t="s">
        <v>106</v>
      </c>
      <c r="J52" s="88">
        <v>3</v>
      </c>
      <c r="K52" s="87"/>
      <c r="L52" s="87" t="str">
        <f>IF(J52&lt;3,"only 3 - 6 loads",IF(J52&gt;6,"only 3 - 6 loads",""))</f>
        <v/>
      </c>
      <c r="M52" s="87"/>
      <c r="N52" s="87" t="s">
        <v>130</v>
      </c>
      <c r="O52" s="39"/>
      <c r="P52" s="11"/>
      <c r="Q52" s="11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</row>
    <row r="53" spans="1:52" ht="27" x14ac:dyDescent="0.35">
      <c r="A53" s="11" t="s">
        <v>95</v>
      </c>
      <c r="B53" s="9" t="s">
        <v>9</v>
      </c>
      <c r="C53" s="28">
        <f>IF(C27=4,C50/(C48+C31/10/2),IF(C27=3,C50/(C48*2+C31/10/2),IF(C27=1,C50/C48)))</f>
        <v>179.35218903724137</v>
      </c>
      <c r="I53" s="23" t="s">
        <v>108</v>
      </c>
      <c r="J53" s="60" t="str">
        <f>IF(OR(J55&gt;_M,J56&gt;_V),"","OK")</f>
        <v>OK</v>
      </c>
      <c r="K53" s="10"/>
      <c r="L53" s="61" t="str">
        <f>IF(OR(J55&gt;_M,J56&gt;_V),"Überlast","")</f>
        <v/>
      </c>
      <c r="N53" s="57">
        <f>IF(J52=3,2.4,IF(J52=4,2,IF(J52=5,1.54,IF(J52=6,1.33,"new input"))))</f>
        <v>2.4</v>
      </c>
      <c r="O53" s="11"/>
      <c r="P53" s="11"/>
      <c r="Q53" s="11"/>
      <c r="R53" s="72"/>
      <c r="S53" s="72"/>
      <c r="T53" s="72"/>
      <c r="U53" s="72"/>
      <c r="V53" s="72"/>
      <c r="W53" s="72"/>
      <c r="X53" s="72"/>
      <c r="Y53" s="72"/>
      <c r="Z53" s="72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</row>
    <row r="54" spans="1:52" ht="27" x14ac:dyDescent="0.35">
      <c r="I54" s="62" t="str">
        <f>IF(J67&lt;=1,"","Interaktionsnachweis von Vz + My erforderlich***")</f>
        <v/>
      </c>
      <c r="J54" s="60"/>
      <c r="K54" s="10"/>
      <c r="L54" s="61"/>
      <c r="N54" s="57"/>
      <c r="O54" s="11"/>
      <c r="P54" s="11"/>
      <c r="Q54" s="11"/>
      <c r="R54" s="72"/>
      <c r="S54" s="72"/>
      <c r="T54" s="72"/>
      <c r="U54" s="72"/>
      <c r="V54" s="72"/>
      <c r="W54" s="72"/>
      <c r="X54" s="72"/>
      <c r="Y54" s="72"/>
      <c r="Z54" s="72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</row>
    <row r="55" spans="1:52" ht="15" x14ac:dyDescent="0.2">
      <c r="I55" s="63" t="s">
        <v>58</v>
      </c>
      <c r="J55" s="64">
        <f>(gf_p*J48*9.81/1000+gf_g*C37)*J38^2/8+(gf_p*J47*9.81/1000)*J38/4+(gf_p*J51*9.81/1000)*J38/N53</f>
        <v>3.2146874999999997</v>
      </c>
      <c r="K55" s="64">
        <f>IF(L55&lt;0,0,L55)</f>
        <v>21.960312500000001</v>
      </c>
      <c r="L55" s="64">
        <f>C57-J55</f>
        <v>21.960312500000001</v>
      </c>
      <c r="M55" s="64"/>
      <c r="N55" s="64"/>
      <c r="O55" s="11"/>
      <c r="P55" s="11"/>
      <c r="Q55" s="11"/>
      <c r="R55" s="57"/>
      <c r="S55" s="57"/>
      <c r="T55" s="57"/>
      <c r="U55" s="57"/>
      <c r="V55" s="57"/>
      <c r="W55" s="57"/>
      <c r="X55" s="57"/>
      <c r="Y55" s="57"/>
      <c r="Z55" s="72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</row>
    <row r="56" spans="1:52" ht="15" x14ac:dyDescent="0.2">
      <c r="A56" s="11" t="s">
        <v>96</v>
      </c>
      <c r="B56" s="9" t="s">
        <v>12</v>
      </c>
      <c r="C56" s="9">
        <f>IF(C32=2,2.5,IF(C32=3,5.63,IF(C32=4,9.99,IF(C32=5,10.5,""))))</f>
        <v>5.63</v>
      </c>
      <c r="I56" s="63" t="s">
        <v>59</v>
      </c>
      <c r="J56" s="64">
        <f>(gf_g*_g*J38+gf_p*J47*9.81/1000+gf_p*J48*9.81/1000*J38+gf_p*J51*9.81/1000*J52)/2</f>
        <v>1.2234375</v>
      </c>
      <c r="K56" s="64">
        <f>IF(L56&lt;0,0,L56)</f>
        <v>15.626562500000002</v>
      </c>
      <c r="L56" s="64">
        <f>C58-J56</f>
        <v>15.626562500000002</v>
      </c>
      <c r="M56" s="64"/>
      <c r="N56" s="64"/>
      <c r="O56" s="11"/>
      <c r="P56" s="11"/>
      <c r="Q56" s="11"/>
      <c r="R56" s="57"/>
      <c r="S56" s="57"/>
      <c r="T56" s="57"/>
      <c r="U56" s="57"/>
      <c r="V56" s="57"/>
      <c r="W56" s="57"/>
      <c r="X56" s="57"/>
      <c r="Y56" s="57"/>
      <c r="Z56" s="72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</row>
    <row r="57" spans="1:52" x14ac:dyDescent="0.2">
      <c r="A57" s="11" t="s">
        <v>98</v>
      </c>
      <c r="B57" s="9" t="s">
        <v>11</v>
      </c>
      <c r="C57" s="9">
        <f>VLOOKUP(B22,AB120:AR149,13,0)</f>
        <v>25.175000000000001</v>
      </c>
      <c r="I57" s="64"/>
      <c r="J57" s="64"/>
      <c r="K57" s="64"/>
      <c r="L57" s="64"/>
      <c r="M57" s="64"/>
      <c r="N57" s="64"/>
      <c r="O57" s="11"/>
      <c r="P57" s="11"/>
      <c r="Q57" s="11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</row>
    <row r="58" spans="1:52" x14ac:dyDescent="0.2">
      <c r="A58" s="11" t="s">
        <v>97</v>
      </c>
      <c r="B58" s="9" t="s">
        <v>12</v>
      </c>
      <c r="C58" s="9">
        <f>VLOOKUP(B22,AB120:AR149,14,0)</f>
        <v>16.850000000000001</v>
      </c>
      <c r="J58" s="64"/>
      <c r="K58" s="64"/>
      <c r="L58" s="64"/>
      <c r="M58" s="64"/>
      <c r="N58" s="64"/>
      <c r="O58" s="11"/>
      <c r="P58" s="11"/>
      <c r="Q58" s="11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</row>
    <row r="59" spans="1:52" x14ac:dyDescent="0.2">
      <c r="J59" s="64"/>
      <c r="K59" s="64"/>
      <c r="L59" s="64"/>
      <c r="M59" s="64"/>
      <c r="N59" s="64"/>
      <c r="O59" s="11"/>
      <c r="P59" s="11"/>
      <c r="Q59" s="11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</row>
    <row r="60" spans="1:52" x14ac:dyDescent="0.2">
      <c r="M60" s="64"/>
      <c r="N60" s="64"/>
      <c r="O60" s="11"/>
      <c r="P60" s="11"/>
      <c r="Q60" s="11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</row>
    <row r="61" spans="1:52" ht="25.5" x14ac:dyDescent="0.35">
      <c r="A61" s="65" t="str">
        <f>IF(OR(J55&gt;_M,J56&gt;_V),"Überlast","")</f>
        <v/>
      </c>
      <c r="I61" s="64" t="s">
        <v>63</v>
      </c>
      <c r="J61" s="66">
        <f>IF(C27=4,J55/(2*(C28))*1000,J55/(C28)*1000)</f>
        <v>6.697265625</v>
      </c>
      <c r="K61" s="64" t="s">
        <v>12</v>
      </c>
      <c r="M61" s="64"/>
      <c r="N61" s="64"/>
      <c r="O61" s="11"/>
      <c r="P61" s="11"/>
      <c r="Q61" s="11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</row>
    <row r="62" spans="1:52" ht="15" x14ac:dyDescent="0.2">
      <c r="E62" s="17"/>
      <c r="I62" s="9" t="s">
        <v>62</v>
      </c>
      <c r="J62" s="9">
        <f>VLOOKUP(B22,AB120:AR149,17,0)</f>
        <v>1.9419999999999999</v>
      </c>
      <c r="O62" s="11"/>
      <c r="P62" s="11"/>
      <c r="Q62" s="11"/>
      <c r="R62" s="57"/>
      <c r="S62" s="57"/>
      <c r="T62" s="57"/>
      <c r="U62" s="57"/>
      <c r="V62" s="57"/>
      <c r="W62" s="57"/>
      <c r="X62" s="57"/>
      <c r="Y62" s="57"/>
      <c r="Z62" s="57"/>
      <c r="AA62" s="72"/>
      <c r="AB62" s="72"/>
      <c r="AC62" s="72"/>
      <c r="AD62" s="72"/>
      <c r="AE62" s="72"/>
      <c r="AF62" s="72"/>
      <c r="AG62" s="72"/>
      <c r="AH62" s="72"/>
      <c r="AI62" s="72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</row>
    <row r="63" spans="1:52" ht="15" x14ac:dyDescent="0.2">
      <c r="I63" s="64" t="s">
        <v>61</v>
      </c>
      <c r="J63" s="9">
        <f>J62*J56</f>
        <v>2.3759156249999998</v>
      </c>
      <c r="K63" s="27" t="s">
        <v>64</v>
      </c>
      <c r="O63" s="11"/>
      <c r="P63" s="11"/>
      <c r="Q63" s="11"/>
      <c r="R63" s="57"/>
      <c r="S63" s="57"/>
      <c r="T63" s="57"/>
      <c r="U63" s="57"/>
      <c r="V63" s="57"/>
      <c r="W63" s="57"/>
      <c r="X63" s="57"/>
      <c r="Y63" s="57"/>
      <c r="Z63" s="57"/>
      <c r="AA63" s="72"/>
      <c r="AB63" s="72"/>
      <c r="AC63" s="72"/>
      <c r="AD63" s="72"/>
      <c r="AE63" s="72"/>
      <c r="AF63" s="72"/>
      <c r="AG63" s="72"/>
      <c r="AH63" s="72"/>
      <c r="AI63" s="72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</row>
    <row r="64" spans="1:52" ht="15" x14ac:dyDescent="0.2">
      <c r="I64" s="27" t="s">
        <v>69</v>
      </c>
      <c r="J64" s="9">
        <f>VLOOKUP(B22,AB120:AR149,15,0)</f>
        <v>64.36</v>
      </c>
      <c r="K64" s="27" t="s">
        <v>12</v>
      </c>
      <c r="O64" s="11"/>
      <c r="P64" s="11"/>
      <c r="Q64" s="11"/>
      <c r="R64" s="57"/>
      <c r="S64" s="57"/>
      <c r="T64" s="57"/>
      <c r="U64" s="57"/>
      <c r="V64" s="57"/>
      <c r="W64" s="57"/>
      <c r="X64" s="57"/>
      <c r="Y64" s="57"/>
      <c r="Z64" s="57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57"/>
      <c r="AS64" s="57"/>
      <c r="AT64" s="57"/>
      <c r="AU64" s="57"/>
      <c r="AV64" s="57"/>
      <c r="AW64" s="57"/>
      <c r="AX64" s="57"/>
      <c r="AY64" s="57"/>
      <c r="AZ64" s="57"/>
    </row>
    <row r="65" spans="1:52" x14ac:dyDescent="0.2">
      <c r="I65" s="27" t="s">
        <v>70</v>
      </c>
      <c r="J65" s="9">
        <f>VLOOKUP(B22,AB120:AR149,16,0)</f>
        <v>62.22</v>
      </c>
      <c r="K65" s="27" t="s">
        <v>64</v>
      </c>
      <c r="M65" s="64" t="s">
        <v>74</v>
      </c>
      <c r="O65" s="11"/>
      <c r="P65" s="11"/>
      <c r="Q65" s="11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</row>
    <row r="66" spans="1:52" x14ac:dyDescent="0.2">
      <c r="I66" s="27" t="s">
        <v>72</v>
      </c>
      <c r="J66" s="9">
        <f>VLOOKUP(B22,AB120:AS149,18,0)</f>
        <v>1.3</v>
      </c>
      <c r="M66" s="64">
        <f>(gf_p*J48*9.81/1000+gf_g*C37)*J38^2/8</f>
        <v>0.45562500000000006</v>
      </c>
      <c r="N66" s="27" t="s">
        <v>11</v>
      </c>
      <c r="O66" s="11"/>
      <c r="P66" s="11"/>
      <c r="Q66" s="11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</row>
    <row r="67" spans="1:52" x14ac:dyDescent="0.2">
      <c r="I67" s="27" t="s">
        <v>71</v>
      </c>
      <c r="J67" s="9">
        <f>((J61/J64)^J66+(J63/J65)^1.7)^0.6</f>
        <v>0.17864071776373275</v>
      </c>
      <c r="M67" s="9">
        <f>M66/J55</f>
        <v>0.14173228346456695</v>
      </c>
      <c r="N67" s="27" t="s">
        <v>75</v>
      </c>
      <c r="O67" s="11"/>
      <c r="P67" s="11"/>
      <c r="Q67" s="11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</row>
    <row r="68" spans="1:52" x14ac:dyDescent="0.2">
      <c r="O68" s="11"/>
      <c r="P68" s="11"/>
      <c r="Q68" s="11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</row>
    <row r="69" spans="1:52" x14ac:dyDescent="0.2">
      <c r="O69" s="11"/>
      <c r="P69" s="11"/>
      <c r="Q69" s="11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</row>
    <row r="70" spans="1:52" x14ac:dyDescent="0.2">
      <c r="I70" s="11" t="s">
        <v>111</v>
      </c>
      <c r="O70" s="11"/>
      <c r="P70" s="11"/>
      <c r="Q70" s="11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</row>
    <row r="71" spans="1:52" ht="15.75" x14ac:dyDescent="0.3">
      <c r="I71" s="67" t="s">
        <v>52</v>
      </c>
      <c r="J71" s="9">
        <v>1.35</v>
      </c>
      <c r="K71" s="11" t="s">
        <v>109</v>
      </c>
      <c r="O71" s="11"/>
      <c r="P71" s="11"/>
      <c r="Q71" s="11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</row>
    <row r="72" spans="1:52" ht="15.75" x14ac:dyDescent="0.3">
      <c r="I72" s="67" t="s">
        <v>52</v>
      </c>
      <c r="J72" s="9">
        <v>1.5</v>
      </c>
      <c r="K72" s="11" t="s">
        <v>110</v>
      </c>
      <c r="O72" s="11"/>
      <c r="P72" s="11"/>
      <c r="Q72" s="11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</row>
    <row r="73" spans="1:52" ht="25.5" x14ac:dyDescent="0.35">
      <c r="E73" s="65" t="str">
        <f>IF(OR(J55&gt;_M,J56&gt;_V),"Überlast","")</f>
        <v/>
      </c>
      <c r="I73" s="65" t="str">
        <f>IF(OR(J55&gt;_M,J56&gt;_V),"Überlast","")</f>
        <v/>
      </c>
      <c r="O73" s="11"/>
      <c r="P73" s="11"/>
      <c r="Q73" s="11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</row>
    <row r="74" spans="1:52" x14ac:dyDescent="0.2">
      <c r="O74" s="11"/>
      <c r="P74" s="11"/>
      <c r="Q74" s="11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</row>
    <row r="75" spans="1:52" x14ac:dyDescent="0.2">
      <c r="A75" s="11" t="s">
        <v>76</v>
      </c>
      <c r="B75" s="68"/>
      <c r="C75" s="68"/>
      <c r="D75" s="68"/>
      <c r="E75" s="11" t="s">
        <v>76</v>
      </c>
      <c r="F75" s="68"/>
      <c r="G75" s="68"/>
      <c r="H75" s="68"/>
      <c r="I75" s="11" t="s">
        <v>76</v>
      </c>
      <c r="J75" s="68"/>
      <c r="K75" s="68"/>
      <c r="L75" s="68"/>
      <c r="M75" s="68"/>
      <c r="N75" s="68"/>
      <c r="O75" s="11"/>
      <c r="P75" s="11"/>
      <c r="Q75" s="11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</row>
    <row r="76" spans="1:52" x14ac:dyDescent="0.2">
      <c r="A76" s="11" t="s">
        <v>112</v>
      </c>
      <c r="B76" s="68"/>
      <c r="C76" s="68"/>
      <c r="D76" s="68"/>
      <c r="E76" s="11" t="s">
        <v>112</v>
      </c>
      <c r="F76" s="68"/>
      <c r="G76" s="68"/>
      <c r="H76" s="68"/>
      <c r="I76" s="11" t="s">
        <v>112</v>
      </c>
      <c r="J76" s="68"/>
      <c r="K76" s="68"/>
      <c r="L76" s="68"/>
      <c r="M76" s="68"/>
      <c r="N76" s="68"/>
      <c r="O76" s="11"/>
      <c r="P76" s="11"/>
      <c r="Q76" s="11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</row>
    <row r="77" spans="1:52" x14ac:dyDescent="0.2">
      <c r="A77" s="11" t="s">
        <v>163</v>
      </c>
      <c r="B77" s="68"/>
      <c r="C77" s="68"/>
      <c r="D77" s="68"/>
      <c r="E77" s="11" t="s">
        <v>163</v>
      </c>
      <c r="F77" s="68"/>
      <c r="G77" s="68"/>
      <c r="H77" s="68"/>
      <c r="I77" s="11" t="s">
        <v>163</v>
      </c>
      <c r="J77" s="68"/>
      <c r="K77" s="68"/>
      <c r="L77" s="68"/>
      <c r="M77" s="68"/>
      <c r="N77" s="68"/>
      <c r="O77" s="11"/>
      <c r="P77" s="11"/>
      <c r="Q77" s="11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</row>
    <row r="78" spans="1:52" x14ac:dyDescent="0.2">
      <c r="A78" s="69" t="s">
        <v>0</v>
      </c>
      <c r="B78" s="70"/>
      <c r="C78" s="70"/>
      <c r="D78" s="70"/>
      <c r="E78" s="69" t="s">
        <v>0</v>
      </c>
      <c r="F78" s="70"/>
      <c r="G78" s="70"/>
      <c r="H78" s="70"/>
      <c r="I78" s="69" t="s">
        <v>0</v>
      </c>
      <c r="J78" s="70"/>
      <c r="K78" s="70"/>
      <c r="L78" s="70"/>
      <c r="M78" s="70"/>
      <c r="N78" s="70"/>
      <c r="O78" s="11"/>
      <c r="P78" s="11"/>
      <c r="Q78" s="11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</row>
    <row r="79" spans="1:52" x14ac:dyDescent="0.2">
      <c r="A79" s="11" t="s">
        <v>164</v>
      </c>
      <c r="B79" s="68"/>
      <c r="C79" s="68"/>
      <c r="D79" s="68"/>
      <c r="E79" s="11" t="s">
        <v>164</v>
      </c>
      <c r="F79" s="68"/>
      <c r="G79" s="68"/>
      <c r="H79" s="68"/>
      <c r="I79" s="11" t="s">
        <v>164</v>
      </c>
      <c r="J79" s="68"/>
      <c r="K79" s="68"/>
      <c r="L79" s="68"/>
      <c r="M79" s="68"/>
      <c r="N79" s="68"/>
      <c r="O79" s="11"/>
      <c r="P79" s="11"/>
      <c r="Q79" s="11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</row>
    <row r="80" spans="1:52" x14ac:dyDescent="0.2">
      <c r="O80" s="11"/>
      <c r="P80" s="11"/>
      <c r="Q80" s="11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</row>
    <row r="81" spans="1:52" x14ac:dyDescent="0.2">
      <c r="A81" s="25" t="s">
        <v>113</v>
      </c>
      <c r="O81" s="11"/>
      <c r="P81" s="11"/>
      <c r="Q81" s="11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</row>
    <row r="82" spans="1:52" x14ac:dyDescent="0.2">
      <c r="A82" s="71" t="s">
        <v>114</v>
      </c>
      <c r="I82" s="11" t="s">
        <v>125</v>
      </c>
      <c r="O82" s="11"/>
      <c r="P82" s="11"/>
      <c r="Q82" s="11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</row>
    <row r="83" spans="1:52" x14ac:dyDescent="0.2">
      <c r="A83" s="11" t="s">
        <v>115</v>
      </c>
      <c r="O83" s="11"/>
      <c r="P83" s="11"/>
      <c r="Q83" s="11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</row>
    <row r="84" spans="1:52" x14ac:dyDescent="0.2">
      <c r="A84" s="11" t="s">
        <v>116</v>
      </c>
      <c r="O84" s="11"/>
      <c r="P84" s="11"/>
      <c r="Q84" s="11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</row>
    <row r="85" spans="1:52" x14ac:dyDescent="0.2">
      <c r="A85" s="11" t="s">
        <v>117</v>
      </c>
      <c r="O85" s="11"/>
      <c r="P85" s="11"/>
      <c r="Q85" s="11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</row>
    <row r="86" spans="1:52" x14ac:dyDescent="0.2">
      <c r="A86" s="11" t="s">
        <v>118</v>
      </c>
      <c r="O86" s="11"/>
      <c r="P86" s="11"/>
      <c r="Q86" s="11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</row>
    <row r="87" spans="1:52" x14ac:dyDescent="0.2">
      <c r="A87" s="11" t="s">
        <v>119</v>
      </c>
      <c r="O87" s="11"/>
      <c r="P87" s="11"/>
      <c r="Q87" s="11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</row>
    <row r="88" spans="1:52" x14ac:dyDescent="0.2">
      <c r="A88" s="11" t="s">
        <v>120</v>
      </c>
      <c r="O88" s="11"/>
      <c r="P88" s="11"/>
      <c r="Q88" s="11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</row>
    <row r="89" spans="1:52" x14ac:dyDescent="0.2">
      <c r="A89" s="11" t="s">
        <v>121</v>
      </c>
      <c r="O89" s="11"/>
      <c r="P89" s="11"/>
      <c r="Q89" s="11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</row>
    <row r="90" spans="1:52" x14ac:dyDescent="0.2">
      <c r="A90" s="11" t="s">
        <v>122</v>
      </c>
      <c r="O90" s="11"/>
      <c r="P90" s="11"/>
      <c r="Q90" s="11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</row>
    <row r="91" spans="1:52" x14ac:dyDescent="0.2">
      <c r="A91" s="11" t="s">
        <v>123</v>
      </c>
      <c r="O91" s="11"/>
      <c r="P91" s="11"/>
      <c r="Q91" s="11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</row>
    <row r="92" spans="1:52" x14ac:dyDescent="0.2">
      <c r="A92" s="11" t="s">
        <v>124</v>
      </c>
      <c r="O92" s="11"/>
      <c r="P92" s="11"/>
      <c r="Q92" s="11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</row>
    <row r="93" spans="1:52" x14ac:dyDescent="0.2">
      <c r="O93" s="11"/>
      <c r="P93" s="11"/>
      <c r="Q93" s="11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</row>
    <row r="94" spans="1:52" x14ac:dyDescent="0.2">
      <c r="O94" s="11"/>
      <c r="P94" s="11"/>
      <c r="Q94" s="11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</row>
    <row r="95" spans="1:52" x14ac:dyDescent="0.2">
      <c r="O95" s="11"/>
      <c r="P95" s="11"/>
      <c r="Q95" s="11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</row>
    <row r="96" spans="1:52" x14ac:dyDescent="0.2">
      <c r="O96" s="11"/>
      <c r="P96" s="11"/>
      <c r="Q96" s="11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</row>
    <row r="97" spans="15:52" x14ac:dyDescent="0.2">
      <c r="O97" s="11"/>
      <c r="P97" s="11"/>
      <c r="Q97" s="11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</row>
    <row r="98" spans="15:52" x14ac:dyDescent="0.2">
      <c r="O98" s="11"/>
      <c r="P98" s="11"/>
      <c r="Q98" s="11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</row>
    <row r="99" spans="15:52" x14ac:dyDescent="0.2">
      <c r="O99" s="11"/>
      <c r="P99" s="11"/>
      <c r="Q99" s="11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</row>
    <row r="100" spans="15:52" x14ac:dyDescent="0.2">
      <c r="O100" s="11"/>
      <c r="P100" s="11"/>
      <c r="Q100" s="11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</row>
    <row r="101" spans="15:52" x14ac:dyDescent="0.2">
      <c r="O101" s="11"/>
      <c r="P101" s="11"/>
      <c r="Q101" s="11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</row>
    <row r="102" spans="15:52" x14ac:dyDescent="0.2">
      <c r="O102" s="11"/>
      <c r="P102" s="11"/>
      <c r="Q102" s="11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</row>
    <row r="103" spans="15:52" x14ac:dyDescent="0.2">
      <c r="O103" s="11"/>
      <c r="P103" s="11"/>
      <c r="Q103" s="11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</row>
    <row r="104" spans="15:52" x14ac:dyDescent="0.2">
      <c r="O104" s="11"/>
      <c r="P104" s="11"/>
      <c r="Q104" s="11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</row>
    <row r="105" spans="15:52" x14ac:dyDescent="0.2">
      <c r="O105" s="11"/>
      <c r="P105" s="11"/>
      <c r="Q105" s="11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</row>
    <row r="106" spans="15:52" x14ac:dyDescent="0.2">
      <c r="O106" s="11"/>
      <c r="P106" s="11"/>
      <c r="Q106" s="11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</row>
    <row r="107" spans="15:52" x14ac:dyDescent="0.2">
      <c r="O107" s="11"/>
      <c r="P107" s="11"/>
      <c r="Q107" s="11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</row>
    <row r="108" spans="15:52" x14ac:dyDescent="0.2">
      <c r="O108" s="11"/>
      <c r="P108" s="11"/>
      <c r="Q108" s="11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</row>
    <row r="109" spans="15:52" x14ac:dyDescent="0.2">
      <c r="O109" s="11"/>
      <c r="P109" s="11"/>
      <c r="Q109" s="11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  <c r="AY109" s="57"/>
      <c r="AZ109" s="57"/>
    </row>
    <row r="110" spans="15:52" x14ac:dyDescent="0.2">
      <c r="O110" s="11"/>
      <c r="P110" s="11"/>
      <c r="Q110" s="11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  <c r="AW110" s="57"/>
      <c r="AX110" s="57"/>
      <c r="AY110" s="57"/>
      <c r="AZ110" s="57"/>
    </row>
    <row r="111" spans="15:52" x14ac:dyDescent="0.2">
      <c r="O111" s="11"/>
      <c r="P111" s="11"/>
      <c r="Q111" s="11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</row>
    <row r="112" spans="15:52" x14ac:dyDescent="0.2">
      <c r="O112" s="11"/>
      <c r="P112" s="11"/>
      <c r="Q112" s="11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  <c r="AW112" s="57"/>
      <c r="AX112" s="57"/>
      <c r="AY112" s="57"/>
      <c r="AZ112" s="57"/>
    </row>
    <row r="113" spans="15:52" x14ac:dyDescent="0.2">
      <c r="O113" s="11"/>
      <c r="P113" s="11"/>
      <c r="Q113" s="11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57"/>
      <c r="AY113" s="57"/>
      <c r="AZ113" s="57"/>
    </row>
    <row r="114" spans="15:52" x14ac:dyDescent="0.2">
      <c r="O114" s="11"/>
      <c r="P114" s="11"/>
      <c r="Q114" s="11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  <c r="AW114" s="57"/>
      <c r="AX114" s="57"/>
      <c r="AY114" s="57"/>
      <c r="AZ114" s="57"/>
    </row>
    <row r="115" spans="15:52" x14ac:dyDescent="0.2">
      <c r="O115" s="11"/>
      <c r="P115" s="11"/>
      <c r="Q115" s="11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  <c r="AW115" s="57"/>
      <c r="AX115" s="57"/>
      <c r="AY115" s="57"/>
      <c r="AZ115" s="57"/>
    </row>
    <row r="116" spans="15:52" x14ac:dyDescent="0.2">
      <c r="O116" s="11"/>
      <c r="P116" s="11"/>
      <c r="Q116" s="11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7"/>
      <c r="AY116" s="57"/>
      <c r="AZ116" s="57"/>
    </row>
    <row r="117" spans="15:52" x14ac:dyDescent="0.2">
      <c r="O117" s="11"/>
      <c r="P117" s="11"/>
      <c r="Q117" s="11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</row>
    <row r="118" spans="15:52" x14ac:dyDescent="0.2">
      <c r="O118" s="11"/>
      <c r="P118" s="11"/>
      <c r="Q118" s="11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 t="s">
        <v>65</v>
      </c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</row>
    <row r="119" spans="15:52" ht="15" x14ac:dyDescent="0.2">
      <c r="O119" s="11"/>
      <c r="P119" s="11"/>
      <c r="Q119" s="11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72" t="s">
        <v>16</v>
      </c>
      <c r="AC119" s="72" t="s">
        <v>19</v>
      </c>
      <c r="AD119" s="72" t="s">
        <v>42</v>
      </c>
      <c r="AE119" s="72" t="s">
        <v>43</v>
      </c>
      <c r="AF119" s="72" t="s">
        <v>44</v>
      </c>
      <c r="AG119" s="72" t="s">
        <v>45</v>
      </c>
      <c r="AH119" s="72" t="s">
        <v>20</v>
      </c>
      <c r="AI119" s="72" t="s">
        <v>21</v>
      </c>
      <c r="AJ119" s="72" t="s">
        <v>22</v>
      </c>
      <c r="AK119" s="72" t="s">
        <v>23</v>
      </c>
      <c r="AL119" s="73" t="s">
        <v>26</v>
      </c>
      <c r="AM119" s="72" t="s">
        <v>24</v>
      </c>
      <c r="AN119" s="72" t="s">
        <v>46</v>
      </c>
      <c r="AO119" s="72" t="s">
        <v>47</v>
      </c>
      <c r="AP119" s="72" t="s">
        <v>67</v>
      </c>
      <c r="AQ119" s="72" t="s">
        <v>66</v>
      </c>
      <c r="AR119" s="72" t="s">
        <v>60</v>
      </c>
      <c r="AS119" s="57" t="s">
        <v>68</v>
      </c>
      <c r="AT119" s="57"/>
      <c r="AU119" s="57"/>
      <c r="AV119" s="57"/>
      <c r="AW119" s="57"/>
      <c r="AX119" s="57"/>
      <c r="AY119" s="57"/>
      <c r="AZ119" s="57"/>
    </row>
    <row r="120" spans="15:52" ht="15.75" x14ac:dyDescent="0.25">
      <c r="O120" s="11"/>
      <c r="P120" s="11"/>
      <c r="Q120" s="11"/>
      <c r="R120" s="57"/>
      <c r="S120" s="57"/>
      <c r="T120" s="57"/>
      <c r="U120" s="57"/>
      <c r="V120" s="57"/>
      <c r="W120" s="57"/>
      <c r="X120" s="57"/>
      <c r="Y120" s="57"/>
      <c r="Z120" s="57"/>
      <c r="AA120" s="72">
        <v>1</v>
      </c>
      <c r="AB120" s="74" t="s">
        <v>142</v>
      </c>
      <c r="AC120" s="75">
        <v>4</v>
      </c>
      <c r="AD120" s="75">
        <v>20</v>
      </c>
      <c r="AE120" s="75">
        <v>2</v>
      </c>
      <c r="AF120" s="75">
        <v>6</v>
      </c>
      <c r="AG120" s="76">
        <v>3</v>
      </c>
      <c r="AH120" s="76">
        <v>80</v>
      </c>
      <c r="AI120" s="76">
        <v>80</v>
      </c>
      <c r="AJ120" s="75" t="s">
        <v>156</v>
      </c>
      <c r="AK120" s="75" t="s">
        <v>152</v>
      </c>
      <c r="AL120" s="76" t="s">
        <v>150</v>
      </c>
      <c r="AM120" s="75">
        <v>1.6500000000000001E-2</v>
      </c>
      <c r="AN120" s="76">
        <v>1.006</v>
      </c>
      <c r="AO120" s="76">
        <v>1.446</v>
      </c>
      <c r="AP120" s="76">
        <v>12.38</v>
      </c>
      <c r="AQ120" s="76">
        <v>12.13</v>
      </c>
      <c r="AR120" s="72">
        <v>1.3480000000000001</v>
      </c>
      <c r="AS120" s="72">
        <v>1.3</v>
      </c>
      <c r="AT120" s="57" t="str">
        <f>AB120</f>
        <v>FD14</v>
      </c>
      <c r="AU120" s="57"/>
      <c r="AV120" s="57"/>
      <c r="AW120" s="57"/>
      <c r="AX120" s="57"/>
      <c r="AY120" s="57"/>
      <c r="AZ120" s="57"/>
    </row>
    <row r="121" spans="15:52" ht="15.75" x14ac:dyDescent="0.25">
      <c r="O121" s="11"/>
      <c r="P121" s="11"/>
      <c r="Q121" s="11"/>
      <c r="R121" s="57"/>
      <c r="S121" s="57"/>
      <c r="T121" s="57"/>
      <c r="U121" s="57"/>
      <c r="V121" s="57"/>
      <c r="W121" s="57"/>
      <c r="X121" s="57"/>
      <c r="Y121" s="57"/>
      <c r="Z121" s="57"/>
      <c r="AA121" s="72">
        <v>2</v>
      </c>
      <c r="AB121" s="74" t="s">
        <v>143</v>
      </c>
      <c r="AC121" s="75">
        <v>1</v>
      </c>
      <c r="AD121" s="75">
        <v>35</v>
      </c>
      <c r="AE121" s="75">
        <v>2</v>
      </c>
      <c r="AF121" s="75" t="s">
        <v>155</v>
      </c>
      <c r="AG121" s="76" t="s">
        <v>151</v>
      </c>
      <c r="AH121" s="76">
        <v>35</v>
      </c>
      <c r="AI121" s="76">
        <v>35</v>
      </c>
      <c r="AJ121" s="75" t="s">
        <v>157</v>
      </c>
      <c r="AK121" s="75" t="s">
        <v>153</v>
      </c>
      <c r="AL121" s="76" t="s">
        <v>150</v>
      </c>
      <c r="AM121" s="75">
        <v>7.0000000000000001E-3</v>
      </c>
      <c r="AN121" s="76">
        <v>0.11799999999999999</v>
      </c>
      <c r="AO121" s="76">
        <v>4.2809999999999997</v>
      </c>
      <c r="AP121" s="76">
        <v>10</v>
      </c>
      <c r="AQ121" s="76">
        <v>10</v>
      </c>
      <c r="AR121" s="72">
        <v>1</v>
      </c>
      <c r="AS121" s="72">
        <v>1</v>
      </c>
      <c r="AT121" s="57" t="str">
        <f t="shared" ref="AT121:AT149" si="0">AB121</f>
        <v>FD21</v>
      </c>
      <c r="AU121" s="57"/>
      <c r="AV121" s="57"/>
      <c r="AW121" s="57"/>
      <c r="AX121" s="57"/>
      <c r="AY121" s="57"/>
      <c r="AZ121" s="57"/>
    </row>
    <row r="122" spans="15:52" ht="15.75" x14ac:dyDescent="0.25">
      <c r="O122" s="11"/>
      <c r="P122" s="11"/>
      <c r="Q122" s="11"/>
      <c r="R122" s="57"/>
      <c r="S122" s="57"/>
      <c r="T122" s="57"/>
      <c r="U122" s="57"/>
      <c r="V122" s="57"/>
      <c r="W122" s="57"/>
      <c r="X122" s="57"/>
      <c r="Y122" s="57"/>
      <c r="Z122" s="57"/>
      <c r="AA122" s="72">
        <v>3</v>
      </c>
      <c r="AB122" s="74" t="s">
        <v>144</v>
      </c>
      <c r="AC122" s="75">
        <v>3</v>
      </c>
      <c r="AD122" s="75">
        <v>35</v>
      </c>
      <c r="AE122" s="75">
        <v>2</v>
      </c>
      <c r="AF122" s="75">
        <v>10</v>
      </c>
      <c r="AG122" s="76">
        <v>2</v>
      </c>
      <c r="AH122" s="76">
        <v>160</v>
      </c>
      <c r="AI122" s="76">
        <v>185</v>
      </c>
      <c r="AJ122" s="75" t="s">
        <v>157</v>
      </c>
      <c r="AK122" s="75" t="s">
        <v>153</v>
      </c>
      <c r="AL122" s="76" t="s">
        <v>150</v>
      </c>
      <c r="AM122" s="75">
        <v>2.5000000000000001E-2</v>
      </c>
      <c r="AN122" s="76">
        <v>2.3359999999999999</v>
      </c>
      <c r="AO122" s="76">
        <v>3.6989999999999998</v>
      </c>
      <c r="AP122" s="76">
        <v>18.71</v>
      </c>
      <c r="AQ122" s="76">
        <v>11.87</v>
      </c>
      <c r="AR122" s="72">
        <v>1.2589999999999999</v>
      </c>
      <c r="AS122" s="72">
        <v>1.3</v>
      </c>
      <c r="AT122" s="57" t="str">
        <f>AB122</f>
        <v>FD23</v>
      </c>
      <c r="AU122" s="57"/>
      <c r="AV122" s="57"/>
      <c r="AW122" s="57"/>
      <c r="AX122" s="57"/>
      <c r="AY122" s="57"/>
      <c r="AZ122" s="57"/>
    </row>
    <row r="123" spans="15:52" ht="15.75" x14ac:dyDescent="0.25">
      <c r="O123" s="11"/>
      <c r="P123" s="11"/>
      <c r="Q123" s="11"/>
      <c r="R123" s="57"/>
      <c r="S123" s="57"/>
      <c r="T123" s="57"/>
      <c r="U123" s="57"/>
      <c r="V123" s="57"/>
      <c r="W123" s="57"/>
      <c r="X123" s="57"/>
      <c r="Y123" s="57"/>
      <c r="Z123" s="57"/>
      <c r="AA123" s="72">
        <v>4</v>
      </c>
      <c r="AB123" s="74" t="s">
        <v>145</v>
      </c>
      <c r="AC123" s="75">
        <v>4</v>
      </c>
      <c r="AD123" s="75">
        <v>35</v>
      </c>
      <c r="AE123" s="75">
        <v>2</v>
      </c>
      <c r="AF123" s="75">
        <v>10</v>
      </c>
      <c r="AG123" s="76">
        <v>2</v>
      </c>
      <c r="AH123" s="76">
        <v>185</v>
      </c>
      <c r="AI123" s="76">
        <v>185</v>
      </c>
      <c r="AJ123" s="75" t="s">
        <v>157</v>
      </c>
      <c r="AK123" s="75" t="s">
        <v>153</v>
      </c>
      <c r="AL123" s="76" t="s">
        <v>150</v>
      </c>
      <c r="AM123" s="75">
        <v>3.4000000000000002E-2</v>
      </c>
      <c r="AN123" s="76">
        <v>5.4009999999999998</v>
      </c>
      <c r="AO123" s="76">
        <v>4.2720000000000002</v>
      </c>
      <c r="AP123" s="76">
        <v>16.942</v>
      </c>
      <c r="AQ123" s="76">
        <v>11.87</v>
      </c>
      <c r="AR123" s="72">
        <v>1.0900000000000001</v>
      </c>
      <c r="AS123" s="72">
        <v>1.3</v>
      </c>
      <c r="AT123" s="57" t="str">
        <f t="shared" si="0"/>
        <v>FD24</v>
      </c>
      <c r="AU123" s="57"/>
      <c r="AV123" s="57"/>
      <c r="AW123" s="57"/>
      <c r="AX123" s="57"/>
      <c r="AY123" s="57"/>
      <c r="AZ123" s="57"/>
    </row>
    <row r="124" spans="15:52" ht="15" x14ac:dyDescent="0.2">
      <c r="O124" s="11"/>
      <c r="P124" s="11"/>
      <c r="Q124" s="11"/>
      <c r="R124" s="57"/>
      <c r="S124" s="57"/>
      <c r="T124" s="57"/>
      <c r="U124" s="57"/>
      <c r="V124" s="57"/>
      <c r="W124" s="57"/>
      <c r="X124" s="57"/>
      <c r="Y124" s="57"/>
      <c r="Z124" s="57"/>
      <c r="AA124" s="72">
        <v>5</v>
      </c>
      <c r="AB124" s="77" t="s">
        <v>146</v>
      </c>
      <c r="AC124" s="75">
        <v>1</v>
      </c>
      <c r="AD124" s="75">
        <v>50</v>
      </c>
      <c r="AE124" s="75">
        <v>2</v>
      </c>
      <c r="AF124" s="75" t="s">
        <v>155</v>
      </c>
      <c r="AG124" s="76" t="s">
        <v>155</v>
      </c>
      <c r="AH124" s="76">
        <v>50</v>
      </c>
      <c r="AI124" s="76">
        <v>50</v>
      </c>
      <c r="AJ124" s="78" t="s">
        <v>158</v>
      </c>
      <c r="AK124" s="75" t="s">
        <v>154</v>
      </c>
      <c r="AL124" s="76" t="s">
        <v>150</v>
      </c>
      <c r="AM124" s="75">
        <v>0.01</v>
      </c>
      <c r="AN124" s="76">
        <v>0.42</v>
      </c>
      <c r="AO124" s="76">
        <v>12.132</v>
      </c>
      <c r="AP124" s="76">
        <v>50</v>
      </c>
      <c r="AQ124" s="76">
        <v>50</v>
      </c>
      <c r="AR124" s="72">
        <v>1</v>
      </c>
      <c r="AS124" s="72">
        <v>1</v>
      </c>
      <c r="AT124" s="57" t="str">
        <f t="shared" si="0"/>
        <v>FD31</v>
      </c>
      <c r="AU124" s="57"/>
      <c r="AV124" s="57"/>
      <c r="AW124" s="57"/>
      <c r="AX124" s="57"/>
      <c r="AY124" s="57"/>
      <c r="AZ124" s="57"/>
    </row>
    <row r="125" spans="15:52" ht="15.75" x14ac:dyDescent="0.25">
      <c r="O125" s="11"/>
      <c r="P125" s="11"/>
      <c r="Q125" s="11"/>
      <c r="R125" s="57"/>
      <c r="S125" s="57"/>
      <c r="T125" s="57"/>
      <c r="U125" s="57"/>
      <c r="V125" s="57"/>
      <c r="W125" s="57"/>
      <c r="X125" s="57"/>
      <c r="Y125" s="57"/>
      <c r="Z125" s="57"/>
      <c r="AA125" s="72">
        <v>6</v>
      </c>
      <c r="AB125" s="74" t="s">
        <v>14</v>
      </c>
      <c r="AC125" s="75">
        <v>3</v>
      </c>
      <c r="AD125" s="75">
        <v>50</v>
      </c>
      <c r="AE125" s="75">
        <v>2</v>
      </c>
      <c r="AF125" s="75">
        <v>20</v>
      </c>
      <c r="AG125" s="76">
        <v>2</v>
      </c>
      <c r="AH125" s="76">
        <v>208</v>
      </c>
      <c r="AI125" s="76">
        <v>240</v>
      </c>
      <c r="AJ125" s="78" t="s">
        <v>158</v>
      </c>
      <c r="AK125" s="75" t="s">
        <v>154</v>
      </c>
      <c r="AL125" s="76" t="s">
        <v>150</v>
      </c>
      <c r="AM125" s="75">
        <v>4.4999999999999998E-2</v>
      </c>
      <c r="AN125" s="76">
        <v>7.4269999999999996</v>
      </c>
      <c r="AO125" s="76">
        <v>14.599</v>
      </c>
      <c r="AP125" s="76">
        <v>46.68</v>
      </c>
      <c r="AQ125" s="76">
        <v>45.54</v>
      </c>
      <c r="AR125" s="72">
        <v>2.242</v>
      </c>
      <c r="AS125" s="72">
        <v>1</v>
      </c>
      <c r="AT125" s="57" t="str">
        <f t="shared" si="0"/>
        <v>FD33</v>
      </c>
      <c r="AU125" s="57"/>
      <c r="AV125" s="57"/>
      <c r="AW125" s="57"/>
      <c r="AX125" s="57"/>
      <c r="AY125" s="57"/>
      <c r="AZ125" s="57"/>
    </row>
    <row r="126" spans="15:52" ht="15.75" x14ac:dyDescent="0.25">
      <c r="O126" s="11"/>
      <c r="P126" s="11"/>
      <c r="Q126" s="11"/>
      <c r="R126" s="57"/>
      <c r="S126" s="57"/>
      <c r="T126" s="57"/>
      <c r="U126" s="57"/>
      <c r="V126" s="57"/>
      <c r="W126" s="57"/>
      <c r="X126" s="57"/>
      <c r="Y126" s="57"/>
      <c r="Z126" s="57"/>
      <c r="AA126" s="72">
        <v>7</v>
      </c>
      <c r="AB126" s="74" t="s">
        <v>13</v>
      </c>
      <c r="AC126" s="75">
        <v>4</v>
      </c>
      <c r="AD126" s="75">
        <v>50</v>
      </c>
      <c r="AE126" s="75">
        <v>2</v>
      </c>
      <c r="AF126" s="75">
        <v>20</v>
      </c>
      <c r="AG126" s="76">
        <v>2</v>
      </c>
      <c r="AH126" s="76">
        <v>240</v>
      </c>
      <c r="AI126" s="76">
        <v>240</v>
      </c>
      <c r="AJ126" s="78" t="s">
        <v>158</v>
      </c>
      <c r="AK126" s="75" t="s">
        <v>154</v>
      </c>
      <c r="AL126" s="76" t="s">
        <v>150</v>
      </c>
      <c r="AM126" s="75">
        <v>0.06</v>
      </c>
      <c r="AN126" s="76">
        <v>17.14</v>
      </c>
      <c r="AO126" s="76">
        <v>16.853999999999999</v>
      </c>
      <c r="AP126" s="76">
        <v>43.8</v>
      </c>
      <c r="AQ126" s="76">
        <v>43.97</v>
      </c>
      <c r="AR126" s="72">
        <v>1.9419999999999999</v>
      </c>
      <c r="AS126" s="72">
        <v>1</v>
      </c>
      <c r="AT126" s="57" t="str">
        <f t="shared" si="0"/>
        <v>FD34</v>
      </c>
      <c r="AU126" s="57"/>
      <c r="AV126" s="57"/>
      <c r="AW126" s="57"/>
      <c r="AX126" s="57"/>
      <c r="AY126" s="57"/>
      <c r="AZ126" s="57"/>
    </row>
    <row r="127" spans="15:52" ht="15.75" x14ac:dyDescent="0.25">
      <c r="O127" s="11"/>
      <c r="P127" s="11"/>
      <c r="Q127" s="11"/>
      <c r="R127" s="57"/>
      <c r="S127" s="57"/>
      <c r="T127" s="57"/>
      <c r="U127" s="57"/>
      <c r="V127" s="57"/>
      <c r="W127" s="57"/>
      <c r="X127" s="57"/>
      <c r="Y127" s="57"/>
      <c r="Z127" s="57"/>
      <c r="AA127" s="72">
        <v>8</v>
      </c>
      <c r="AB127" s="74" t="s">
        <v>17</v>
      </c>
      <c r="AC127" s="75">
        <v>3</v>
      </c>
      <c r="AD127" s="75">
        <v>50</v>
      </c>
      <c r="AE127" s="75">
        <v>2</v>
      </c>
      <c r="AF127" s="75">
        <v>25</v>
      </c>
      <c r="AG127" s="76">
        <v>3</v>
      </c>
      <c r="AH127" s="76">
        <v>303</v>
      </c>
      <c r="AI127" s="76">
        <v>350</v>
      </c>
      <c r="AJ127" s="78" t="s">
        <v>159</v>
      </c>
      <c r="AK127" s="75" t="s">
        <v>154</v>
      </c>
      <c r="AL127" s="76" t="s">
        <v>150</v>
      </c>
      <c r="AM127" s="75">
        <v>5.5E-2</v>
      </c>
      <c r="AN127" s="76">
        <v>10.819000000000001</v>
      </c>
      <c r="AO127" s="76">
        <v>24.38</v>
      </c>
      <c r="AP127" s="76">
        <v>45.45</v>
      </c>
      <c r="AQ127" s="76">
        <v>44.502000000000002</v>
      </c>
      <c r="AR127" s="72">
        <v>2.0499999999999998</v>
      </c>
      <c r="AS127" s="72">
        <v>1</v>
      </c>
      <c r="AT127" s="57" t="str">
        <f t="shared" ref="AT127:AT137" si="1">AB127</f>
        <v>FD43</v>
      </c>
      <c r="AU127" s="57"/>
      <c r="AV127" s="57"/>
      <c r="AW127" s="57"/>
      <c r="AX127" s="57"/>
      <c r="AY127" s="57"/>
      <c r="AZ127" s="57"/>
    </row>
    <row r="128" spans="15:52" ht="15.75" x14ac:dyDescent="0.25">
      <c r="O128" s="11"/>
      <c r="P128" s="11"/>
      <c r="Q128" s="11"/>
      <c r="R128" s="57"/>
      <c r="S128" s="57"/>
      <c r="T128" s="57"/>
      <c r="U128" s="57"/>
      <c r="V128" s="57"/>
      <c r="W128" s="57"/>
      <c r="X128" s="57"/>
      <c r="Y128" s="57"/>
      <c r="Z128" s="57"/>
      <c r="AA128" s="72">
        <v>9</v>
      </c>
      <c r="AB128" s="74" t="s">
        <v>18</v>
      </c>
      <c r="AC128" s="75">
        <v>4</v>
      </c>
      <c r="AD128" s="75">
        <v>50</v>
      </c>
      <c r="AE128" s="75">
        <v>2</v>
      </c>
      <c r="AF128" s="75">
        <v>25</v>
      </c>
      <c r="AG128" s="76">
        <v>3</v>
      </c>
      <c r="AH128" s="76">
        <v>350</v>
      </c>
      <c r="AI128" s="76">
        <v>350</v>
      </c>
      <c r="AJ128" s="78" t="s">
        <v>159</v>
      </c>
      <c r="AK128" s="75" t="s">
        <v>154</v>
      </c>
      <c r="AL128" s="76" t="s">
        <v>150</v>
      </c>
      <c r="AM128" s="75">
        <v>7.4999999999999997E-2</v>
      </c>
      <c r="AN128" s="76">
        <v>24.99</v>
      </c>
      <c r="AO128" s="76">
        <v>28.15</v>
      </c>
      <c r="AP128" s="76">
        <v>42.59</v>
      </c>
      <c r="AQ128" s="76">
        <v>43.46</v>
      </c>
      <c r="AR128" s="72">
        <v>1.7749999999999999</v>
      </c>
      <c r="AS128" s="72">
        <v>1</v>
      </c>
      <c r="AT128" s="57" t="str">
        <f t="shared" si="1"/>
        <v>FD44</v>
      </c>
      <c r="AU128" s="57"/>
      <c r="AV128" s="57"/>
      <c r="AW128" s="57"/>
      <c r="AX128" s="57"/>
      <c r="AY128" s="57"/>
      <c r="AZ128" s="57"/>
    </row>
    <row r="129" spans="15:52" ht="15.75" x14ac:dyDescent="0.25">
      <c r="O129" s="11"/>
      <c r="P129" s="11"/>
      <c r="Q129" s="11"/>
      <c r="R129" s="57"/>
      <c r="S129" s="57"/>
      <c r="T129" s="57"/>
      <c r="U129" s="57"/>
      <c r="V129" s="57"/>
      <c r="W129" s="57"/>
      <c r="X129" s="57"/>
      <c r="Y129" s="57"/>
      <c r="Z129" s="57"/>
      <c r="AA129" s="72">
        <v>10</v>
      </c>
      <c r="AB129" s="74" t="s">
        <v>41</v>
      </c>
      <c r="AC129" s="75">
        <v>3</v>
      </c>
      <c r="AD129" s="75">
        <v>50</v>
      </c>
      <c r="AE129" s="75">
        <v>3</v>
      </c>
      <c r="AF129" s="75">
        <v>20</v>
      </c>
      <c r="AG129" s="76">
        <v>2</v>
      </c>
      <c r="AH129" s="76">
        <v>208</v>
      </c>
      <c r="AI129" s="76">
        <v>240</v>
      </c>
      <c r="AJ129" s="78" t="s">
        <v>159</v>
      </c>
      <c r="AK129" s="75" t="s">
        <v>154</v>
      </c>
      <c r="AL129" s="76" t="s">
        <v>150</v>
      </c>
      <c r="AM129" s="75">
        <v>5.5E-2</v>
      </c>
      <c r="AN129" s="76">
        <v>10.909000000000001</v>
      </c>
      <c r="AO129" s="76">
        <v>14.599</v>
      </c>
      <c r="AP129" s="76">
        <v>68.53</v>
      </c>
      <c r="AQ129" s="76">
        <v>64.45</v>
      </c>
      <c r="AR129" s="72">
        <v>2.242</v>
      </c>
      <c r="AS129" s="72">
        <v>1.3</v>
      </c>
      <c r="AT129" s="57" t="str">
        <f t="shared" si="1"/>
        <v>HD33</v>
      </c>
      <c r="AU129" s="57"/>
      <c r="AV129" s="57"/>
      <c r="AW129" s="57"/>
      <c r="AX129" s="57"/>
      <c r="AY129" s="57"/>
      <c r="AZ129" s="57"/>
    </row>
    <row r="130" spans="15:52" ht="15.75" x14ac:dyDescent="0.25">
      <c r="O130" s="11"/>
      <c r="P130" s="11"/>
      <c r="Q130" s="11"/>
      <c r="R130" s="57"/>
      <c r="S130" s="57"/>
      <c r="T130" s="57"/>
      <c r="U130" s="57"/>
      <c r="V130" s="57"/>
      <c r="W130" s="57"/>
      <c r="X130" s="57"/>
      <c r="Y130" s="57"/>
      <c r="Z130" s="57"/>
      <c r="AA130" s="72">
        <v>11</v>
      </c>
      <c r="AB130" s="74" t="s">
        <v>39</v>
      </c>
      <c r="AC130" s="75">
        <v>4</v>
      </c>
      <c r="AD130" s="75">
        <v>50</v>
      </c>
      <c r="AE130" s="75">
        <v>3</v>
      </c>
      <c r="AF130" s="75">
        <v>20</v>
      </c>
      <c r="AG130" s="76">
        <v>2</v>
      </c>
      <c r="AH130" s="76">
        <v>240</v>
      </c>
      <c r="AI130" s="76">
        <v>240</v>
      </c>
      <c r="AJ130" s="78" t="s">
        <v>159</v>
      </c>
      <c r="AK130" s="75" t="s">
        <v>154</v>
      </c>
      <c r="AL130" s="76" t="s">
        <v>150</v>
      </c>
      <c r="AM130" s="75">
        <v>7.4999999999999997E-2</v>
      </c>
      <c r="AN130" s="76">
        <v>25.175000000000001</v>
      </c>
      <c r="AO130" s="76">
        <v>16.850000000000001</v>
      </c>
      <c r="AP130" s="76">
        <v>64.36</v>
      </c>
      <c r="AQ130" s="76">
        <v>62.22</v>
      </c>
      <c r="AR130" s="72">
        <v>1.9419999999999999</v>
      </c>
      <c r="AS130" s="72">
        <v>1.3</v>
      </c>
      <c r="AT130" s="57" t="str">
        <f t="shared" si="1"/>
        <v>HD34</v>
      </c>
      <c r="AU130" s="57"/>
      <c r="AV130" s="57"/>
      <c r="AW130" s="57"/>
      <c r="AX130" s="57"/>
      <c r="AY130" s="57"/>
      <c r="AZ130" s="57"/>
    </row>
    <row r="131" spans="15:52" ht="15.75" x14ac:dyDescent="0.25">
      <c r="O131" s="11"/>
      <c r="P131" s="11"/>
      <c r="Q131" s="11"/>
      <c r="R131" s="57"/>
      <c r="S131" s="57"/>
      <c r="T131" s="57"/>
      <c r="U131" s="57"/>
      <c r="V131" s="57"/>
      <c r="W131" s="57"/>
      <c r="X131" s="57"/>
      <c r="Y131" s="57"/>
      <c r="Z131" s="57"/>
      <c r="AA131" s="72">
        <v>12</v>
      </c>
      <c r="AB131" s="74" t="s">
        <v>48</v>
      </c>
      <c r="AC131" s="75">
        <v>3</v>
      </c>
      <c r="AD131" s="75">
        <v>50</v>
      </c>
      <c r="AE131" s="75">
        <v>3</v>
      </c>
      <c r="AF131" s="75">
        <v>25</v>
      </c>
      <c r="AG131" s="76">
        <v>3</v>
      </c>
      <c r="AH131" s="76">
        <v>303</v>
      </c>
      <c r="AI131" s="76">
        <v>350</v>
      </c>
      <c r="AJ131" s="78" t="s">
        <v>159</v>
      </c>
      <c r="AK131" s="75" t="s">
        <v>154</v>
      </c>
      <c r="AL131" s="76" t="s">
        <v>150</v>
      </c>
      <c r="AM131" s="75">
        <v>6.5000000000000002E-2</v>
      </c>
      <c r="AN131" s="76">
        <v>15.89</v>
      </c>
      <c r="AO131" s="76">
        <v>27.79</v>
      </c>
      <c r="AP131" s="76">
        <v>66.77</v>
      </c>
      <c r="AQ131" s="76">
        <v>62.74</v>
      </c>
      <c r="AR131" s="72">
        <v>2.0499999999999998</v>
      </c>
      <c r="AS131" s="72">
        <v>1.3</v>
      </c>
      <c r="AT131" s="57" t="str">
        <f t="shared" si="1"/>
        <v>HD43</v>
      </c>
      <c r="AU131" s="57"/>
      <c r="AV131" s="57"/>
      <c r="AW131" s="57"/>
      <c r="AX131" s="57"/>
      <c r="AY131" s="57"/>
      <c r="AZ131" s="57"/>
    </row>
    <row r="132" spans="15:52" ht="15.75" x14ac:dyDescent="0.25">
      <c r="O132" s="11"/>
      <c r="P132" s="11"/>
      <c r="Q132" s="11"/>
      <c r="R132" s="57"/>
      <c r="S132" s="57"/>
      <c r="T132" s="57"/>
      <c r="U132" s="57"/>
      <c r="V132" s="57"/>
      <c r="W132" s="57"/>
      <c r="X132" s="57"/>
      <c r="Y132" s="57"/>
      <c r="Z132" s="57"/>
      <c r="AA132" s="72">
        <v>13</v>
      </c>
      <c r="AB132" s="74" t="s">
        <v>40</v>
      </c>
      <c r="AC132" s="75">
        <v>4</v>
      </c>
      <c r="AD132" s="75">
        <v>50</v>
      </c>
      <c r="AE132" s="75">
        <v>3</v>
      </c>
      <c r="AF132" s="75">
        <v>25</v>
      </c>
      <c r="AG132" s="76">
        <v>3</v>
      </c>
      <c r="AH132" s="76">
        <v>350</v>
      </c>
      <c r="AI132" s="76">
        <v>350</v>
      </c>
      <c r="AJ132" s="78" t="s">
        <v>159</v>
      </c>
      <c r="AK132" s="75" t="s">
        <v>154</v>
      </c>
      <c r="AL132" s="76" t="s">
        <v>150</v>
      </c>
      <c r="AM132" s="75">
        <v>0.08</v>
      </c>
      <c r="AN132" s="76">
        <v>36.71</v>
      </c>
      <c r="AO132" s="76">
        <v>32.090000000000003</v>
      </c>
      <c r="AP132" s="76">
        <v>62.55</v>
      </c>
      <c r="AQ132" s="76">
        <v>61.49</v>
      </c>
      <c r="AR132" s="72">
        <v>1.7749999999999999</v>
      </c>
      <c r="AS132" s="72">
        <v>1.3</v>
      </c>
      <c r="AT132" s="57" t="str">
        <f t="shared" si="1"/>
        <v>HD44</v>
      </c>
      <c r="AU132" s="57"/>
      <c r="AV132" s="57"/>
      <c r="AW132" s="57"/>
      <c r="AX132" s="57"/>
      <c r="AY132" s="57"/>
      <c r="AZ132" s="57"/>
    </row>
    <row r="133" spans="15:52" ht="15.75" x14ac:dyDescent="0.25">
      <c r="O133" s="11"/>
      <c r="P133" s="11"/>
      <c r="Q133" s="11"/>
      <c r="R133" s="57"/>
      <c r="S133" s="57"/>
      <c r="T133" s="57"/>
      <c r="U133" s="57"/>
      <c r="V133" s="57"/>
      <c r="W133" s="57"/>
      <c r="X133" s="57"/>
      <c r="Y133" s="57"/>
      <c r="Z133" s="57"/>
      <c r="AA133" s="72">
        <v>14</v>
      </c>
      <c r="AB133" s="74" t="s">
        <v>15</v>
      </c>
      <c r="AC133" s="75">
        <v>4</v>
      </c>
      <c r="AD133" s="75">
        <v>50</v>
      </c>
      <c r="AE133" s="75">
        <v>3</v>
      </c>
      <c r="AF133" s="75">
        <v>25</v>
      </c>
      <c r="AG133" s="76">
        <v>3</v>
      </c>
      <c r="AH133" s="76">
        <v>350</v>
      </c>
      <c r="AI133" s="76">
        <v>240</v>
      </c>
      <c r="AJ133" s="78" t="s">
        <v>159</v>
      </c>
      <c r="AK133" s="75" t="s">
        <v>154</v>
      </c>
      <c r="AL133" s="76" t="s">
        <v>150</v>
      </c>
      <c r="AM133" s="75">
        <v>8.5000000000000006E-2</v>
      </c>
      <c r="AN133" s="76">
        <v>36.71</v>
      </c>
      <c r="AO133" s="76">
        <v>32.090000000000003</v>
      </c>
      <c r="AP133" s="76">
        <v>62.55</v>
      </c>
      <c r="AQ133" s="76">
        <v>61.49</v>
      </c>
      <c r="AR133" s="72">
        <v>1.579</v>
      </c>
      <c r="AS133" s="72">
        <v>1.3</v>
      </c>
      <c r="AT133" s="57" t="str">
        <f t="shared" si="1"/>
        <v>XD</v>
      </c>
      <c r="AU133" s="57"/>
      <c r="AV133" s="57"/>
      <c r="AW133" s="57"/>
      <c r="AX133" s="57"/>
      <c r="AY133" s="57"/>
      <c r="AZ133" s="57"/>
    </row>
    <row r="134" spans="15:52" ht="15.75" x14ac:dyDescent="0.25">
      <c r="O134" s="11"/>
      <c r="P134" s="11"/>
      <c r="Q134" s="11"/>
      <c r="R134" s="57"/>
      <c r="S134" s="57"/>
      <c r="T134" s="57"/>
      <c r="U134" s="57"/>
      <c r="V134" s="57"/>
      <c r="W134" s="57"/>
      <c r="X134" s="57"/>
      <c r="Y134" s="57"/>
      <c r="Z134" s="57"/>
      <c r="AA134" s="72">
        <v>15</v>
      </c>
      <c r="AB134" s="74" t="s">
        <v>147</v>
      </c>
      <c r="AC134" s="75">
        <v>4</v>
      </c>
      <c r="AD134" s="75">
        <v>50</v>
      </c>
      <c r="AE134" s="75">
        <v>3</v>
      </c>
      <c r="AF134" s="75">
        <v>25</v>
      </c>
      <c r="AG134" s="76">
        <v>3</v>
      </c>
      <c r="AH134" s="76">
        <v>350</v>
      </c>
      <c r="AI134" s="76">
        <v>350</v>
      </c>
      <c r="AJ134" s="78" t="s">
        <v>159</v>
      </c>
      <c r="AK134" s="75" t="s">
        <v>154</v>
      </c>
      <c r="AL134" s="76" t="s">
        <v>150</v>
      </c>
      <c r="AM134" s="75">
        <v>0.1</v>
      </c>
      <c r="AN134" s="76">
        <v>36.71</v>
      </c>
      <c r="AO134" s="76">
        <v>32.090000000000003</v>
      </c>
      <c r="AP134" s="76">
        <v>62.55</v>
      </c>
      <c r="AQ134" s="76">
        <v>61.49</v>
      </c>
      <c r="AR134" s="72">
        <v>1.579</v>
      </c>
      <c r="AS134" s="72">
        <v>1.3</v>
      </c>
      <c r="AT134" s="57" t="str">
        <f t="shared" si="1"/>
        <v>GD</v>
      </c>
      <c r="AU134" s="57"/>
      <c r="AV134" s="57"/>
      <c r="AW134" s="57"/>
      <c r="AX134" s="57"/>
      <c r="AY134" s="57"/>
      <c r="AZ134" s="57"/>
    </row>
    <row r="135" spans="15:52" ht="15.75" x14ac:dyDescent="0.25">
      <c r="O135" s="11"/>
      <c r="P135" s="11"/>
      <c r="Q135" s="11"/>
      <c r="R135" s="57"/>
      <c r="S135" s="57"/>
      <c r="T135" s="57"/>
      <c r="U135" s="57"/>
      <c r="V135" s="57"/>
      <c r="W135" s="57"/>
      <c r="X135" s="57"/>
      <c r="Y135" s="57"/>
      <c r="Z135" s="57"/>
      <c r="AA135" s="72">
        <v>16</v>
      </c>
      <c r="AB135" s="74" t="s">
        <v>148</v>
      </c>
      <c r="AC135" s="75">
        <v>4</v>
      </c>
      <c r="AD135" s="75">
        <v>48</v>
      </c>
      <c r="AE135" s="75">
        <v>4.5</v>
      </c>
      <c r="AF135" s="75">
        <v>25</v>
      </c>
      <c r="AG135" s="76">
        <v>3</v>
      </c>
      <c r="AH135" s="76">
        <v>299</v>
      </c>
      <c r="AI135" s="76">
        <v>299</v>
      </c>
      <c r="AJ135" s="78" t="s">
        <v>159</v>
      </c>
      <c r="AK135" s="75" t="s">
        <v>154</v>
      </c>
      <c r="AL135" s="76" t="s">
        <v>50</v>
      </c>
      <c r="AM135" s="75">
        <v>0.1</v>
      </c>
      <c r="AN135" s="76">
        <v>43.54</v>
      </c>
      <c r="AO135" s="76">
        <v>35.619999999999997</v>
      </c>
      <c r="AP135" s="76">
        <v>142.66999999999999</v>
      </c>
      <c r="AQ135" s="76">
        <v>142.11000000000001</v>
      </c>
      <c r="AR135" s="72">
        <v>2.8479999999999999</v>
      </c>
      <c r="AS135" s="72">
        <v>1.3</v>
      </c>
      <c r="AT135" s="57" t="str">
        <f t="shared" si="1"/>
        <v>GS34</v>
      </c>
      <c r="AU135" s="57"/>
      <c r="AV135" s="57"/>
      <c r="AW135" s="57"/>
      <c r="AX135" s="57"/>
      <c r="AY135" s="57"/>
      <c r="AZ135" s="57"/>
    </row>
    <row r="136" spans="15:52" ht="15" x14ac:dyDescent="0.2">
      <c r="O136" s="11"/>
      <c r="P136" s="11"/>
      <c r="Q136" s="11"/>
      <c r="R136" s="57"/>
      <c r="S136" s="57"/>
      <c r="T136" s="57"/>
      <c r="U136" s="57"/>
      <c r="V136" s="57"/>
      <c r="W136" s="57"/>
      <c r="X136" s="57"/>
      <c r="Y136" s="57"/>
      <c r="Z136" s="57"/>
      <c r="AA136" s="72">
        <v>17</v>
      </c>
      <c r="AB136" s="77" t="s">
        <v>149</v>
      </c>
      <c r="AC136" s="79">
        <v>4</v>
      </c>
      <c r="AD136" s="80">
        <v>48</v>
      </c>
      <c r="AE136" s="80">
        <v>4.5</v>
      </c>
      <c r="AF136" s="80">
        <v>30</v>
      </c>
      <c r="AG136" s="76">
        <v>3</v>
      </c>
      <c r="AH136" s="76">
        <v>569</v>
      </c>
      <c r="AI136" s="76">
        <v>569</v>
      </c>
      <c r="AJ136" s="78" t="s">
        <v>159</v>
      </c>
      <c r="AK136" s="75" t="s">
        <v>154</v>
      </c>
      <c r="AL136" s="76" t="s">
        <v>50</v>
      </c>
      <c r="AM136" s="80">
        <v>0.15</v>
      </c>
      <c r="AN136" s="76">
        <v>82.86</v>
      </c>
      <c r="AO136" s="76">
        <v>53.35</v>
      </c>
      <c r="AP136" s="76">
        <v>142.66999999999999</v>
      </c>
      <c r="AQ136" s="76">
        <v>142.11000000000001</v>
      </c>
      <c r="AR136" s="72">
        <v>2.8479999999999999</v>
      </c>
      <c r="AS136" s="72">
        <v>1.3</v>
      </c>
      <c r="AT136" s="57" t="str">
        <f t="shared" si="1"/>
        <v>GS64</v>
      </c>
      <c r="AU136" s="57"/>
      <c r="AV136" s="57"/>
      <c r="AW136" s="57"/>
      <c r="AX136" s="57"/>
      <c r="AY136" s="57"/>
      <c r="AZ136" s="57"/>
    </row>
    <row r="137" spans="15:52" ht="15" x14ac:dyDescent="0.2">
      <c r="O137" s="11"/>
      <c r="P137" s="11"/>
      <c r="Q137" s="11"/>
      <c r="R137" s="57"/>
      <c r="S137" s="57"/>
      <c r="T137" s="57"/>
      <c r="U137" s="57"/>
      <c r="V137" s="57"/>
      <c r="W137" s="57"/>
      <c r="X137" s="57"/>
      <c r="Y137" s="57"/>
      <c r="Z137" s="57"/>
      <c r="AA137" s="72">
        <v>18</v>
      </c>
      <c r="AB137" s="77" t="s">
        <v>25</v>
      </c>
      <c r="AC137" s="79">
        <v>4</v>
      </c>
      <c r="AD137" s="79">
        <v>50</v>
      </c>
      <c r="AE137" s="79">
        <v>4</v>
      </c>
      <c r="AF137" s="79">
        <v>30</v>
      </c>
      <c r="AG137" s="76">
        <v>3</v>
      </c>
      <c r="AH137" s="76">
        <v>450</v>
      </c>
      <c r="AI137" s="76">
        <v>450</v>
      </c>
      <c r="AJ137" s="78" t="s">
        <v>159</v>
      </c>
      <c r="AK137" s="76" t="s">
        <v>49</v>
      </c>
      <c r="AL137" s="76" t="s">
        <v>150</v>
      </c>
      <c r="AM137" s="79">
        <v>0.14000000000000001</v>
      </c>
      <c r="AN137" s="76">
        <v>61.597000000000001</v>
      </c>
      <c r="AO137" s="76">
        <v>40.03</v>
      </c>
      <c r="AP137" s="76">
        <v>79.14</v>
      </c>
      <c r="AQ137" s="76">
        <v>76.28</v>
      </c>
      <c r="AR137" s="72">
        <v>2.0630000000000002</v>
      </c>
      <c r="AS137" s="72">
        <v>1.3</v>
      </c>
      <c r="AT137" s="57" t="str">
        <f t="shared" si="1"/>
        <v>ST</v>
      </c>
      <c r="AU137" s="57"/>
      <c r="AV137" s="57"/>
      <c r="AW137" s="57"/>
      <c r="AX137" s="57"/>
      <c r="AY137" s="57"/>
      <c r="AZ137" s="57"/>
    </row>
    <row r="138" spans="15:52" ht="15" x14ac:dyDescent="0.2">
      <c r="O138" s="11"/>
      <c r="P138" s="11"/>
      <c r="Q138" s="11"/>
      <c r="R138" s="57"/>
      <c r="S138" s="57"/>
      <c r="T138" s="57"/>
      <c r="U138" s="57"/>
      <c r="V138" s="57"/>
      <c r="W138" s="57"/>
      <c r="X138" s="57"/>
      <c r="Y138" s="57"/>
      <c r="Z138" s="57"/>
      <c r="AA138" s="72">
        <v>19</v>
      </c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</row>
    <row r="139" spans="15:52" ht="15" x14ac:dyDescent="0.2">
      <c r="O139" s="11"/>
      <c r="P139" s="11"/>
      <c r="Q139" s="11"/>
      <c r="R139" s="57"/>
      <c r="S139" s="57"/>
      <c r="T139" s="57"/>
      <c r="U139" s="57"/>
      <c r="V139" s="57"/>
      <c r="W139" s="57"/>
      <c r="X139" s="57"/>
      <c r="Y139" s="57"/>
      <c r="Z139" s="57"/>
      <c r="AA139" s="72">
        <v>20</v>
      </c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7"/>
      <c r="AW139" s="57"/>
      <c r="AX139" s="57"/>
      <c r="AY139" s="57"/>
      <c r="AZ139" s="57"/>
    </row>
    <row r="140" spans="15:52" ht="15" x14ac:dyDescent="0.2">
      <c r="O140" s="11"/>
      <c r="P140" s="11"/>
      <c r="Q140" s="11"/>
      <c r="R140" s="57"/>
      <c r="S140" s="57"/>
      <c r="T140" s="57"/>
      <c r="U140" s="57"/>
      <c r="V140" s="57"/>
      <c r="W140" s="57"/>
      <c r="X140" s="57"/>
      <c r="Y140" s="57"/>
      <c r="Z140" s="57"/>
      <c r="AA140" s="72">
        <v>21</v>
      </c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7"/>
      <c r="AY140" s="57"/>
      <c r="AZ140" s="57"/>
    </row>
    <row r="141" spans="15:52" ht="15" x14ac:dyDescent="0.2">
      <c r="O141" s="11"/>
      <c r="P141" s="11"/>
      <c r="Q141" s="11"/>
      <c r="R141" s="57"/>
      <c r="S141" s="57"/>
      <c r="T141" s="57"/>
      <c r="U141" s="57"/>
      <c r="V141" s="57"/>
      <c r="W141" s="57"/>
      <c r="X141" s="57"/>
      <c r="Y141" s="57"/>
      <c r="Z141" s="57"/>
      <c r="AA141" s="72">
        <v>22</v>
      </c>
      <c r="AB141" s="81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82"/>
      <c r="AN141" s="76"/>
      <c r="AO141" s="76"/>
      <c r="AP141" s="76"/>
      <c r="AQ141" s="76"/>
      <c r="AR141" s="72"/>
      <c r="AS141" s="72"/>
      <c r="AT141" s="57">
        <f t="shared" si="0"/>
        <v>0</v>
      </c>
      <c r="AU141" s="57"/>
      <c r="AV141" s="57"/>
      <c r="AW141" s="57"/>
      <c r="AX141" s="57"/>
      <c r="AY141" s="57"/>
      <c r="AZ141" s="57"/>
    </row>
    <row r="142" spans="15:52" ht="15" x14ac:dyDescent="0.2">
      <c r="O142" s="11"/>
      <c r="P142" s="11"/>
      <c r="Q142" s="11"/>
      <c r="R142" s="57"/>
      <c r="S142" s="57"/>
      <c r="T142" s="57"/>
      <c r="U142" s="57"/>
      <c r="V142" s="57"/>
      <c r="W142" s="57"/>
      <c r="X142" s="57"/>
      <c r="Y142" s="57"/>
      <c r="Z142" s="57"/>
      <c r="AA142" s="72">
        <v>23</v>
      </c>
      <c r="AB142" s="81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82"/>
      <c r="AN142" s="76"/>
      <c r="AO142" s="76"/>
      <c r="AP142" s="76"/>
      <c r="AQ142" s="76"/>
      <c r="AR142" s="72"/>
      <c r="AS142" s="72"/>
      <c r="AT142" s="57">
        <f t="shared" si="0"/>
        <v>0</v>
      </c>
      <c r="AU142" s="57"/>
      <c r="AV142" s="57"/>
      <c r="AW142" s="57"/>
      <c r="AX142" s="57"/>
      <c r="AY142" s="57"/>
      <c r="AZ142" s="57"/>
    </row>
    <row r="143" spans="15:52" ht="15" x14ac:dyDescent="0.2">
      <c r="O143" s="11"/>
      <c r="P143" s="11"/>
      <c r="Q143" s="11"/>
      <c r="R143" s="57"/>
      <c r="S143" s="57"/>
      <c r="T143" s="57"/>
      <c r="U143" s="57"/>
      <c r="V143" s="57"/>
      <c r="W143" s="57"/>
      <c r="X143" s="57"/>
      <c r="Y143" s="57"/>
      <c r="Z143" s="57"/>
      <c r="AA143" s="72">
        <v>24</v>
      </c>
      <c r="AB143" s="81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  <c r="AM143" s="82"/>
      <c r="AN143" s="76"/>
      <c r="AO143" s="76"/>
      <c r="AP143" s="76"/>
      <c r="AQ143" s="76"/>
      <c r="AR143" s="72"/>
      <c r="AS143" s="72"/>
      <c r="AT143" s="57">
        <f t="shared" si="0"/>
        <v>0</v>
      </c>
      <c r="AU143" s="57"/>
      <c r="AV143" s="57"/>
      <c r="AW143" s="57"/>
      <c r="AX143" s="57"/>
      <c r="AY143" s="57"/>
      <c r="AZ143" s="57"/>
    </row>
    <row r="144" spans="15:52" ht="15" x14ac:dyDescent="0.2">
      <c r="O144" s="11"/>
      <c r="P144" s="11"/>
      <c r="Q144" s="11"/>
      <c r="R144" s="57"/>
      <c r="S144" s="57"/>
      <c r="T144" s="57"/>
      <c r="U144" s="57"/>
      <c r="V144" s="57"/>
      <c r="W144" s="57"/>
      <c r="X144" s="57"/>
      <c r="Y144" s="57"/>
      <c r="Z144" s="57"/>
      <c r="AA144" s="72">
        <v>25</v>
      </c>
      <c r="AB144" s="81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82"/>
      <c r="AN144" s="76"/>
      <c r="AO144" s="76"/>
      <c r="AP144" s="76"/>
      <c r="AQ144" s="76"/>
      <c r="AR144" s="72"/>
      <c r="AS144" s="72"/>
      <c r="AT144" s="57">
        <f t="shared" si="0"/>
        <v>0</v>
      </c>
      <c r="AU144" s="57"/>
      <c r="AV144" s="57"/>
      <c r="AW144" s="57"/>
      <c r="AX144" s="57"/>
      <c r="AY144" s="57"/>
      <c r="AZ144" s="57"/>
    </row>
    <row r="145" spans="15:52" ht="15" x14ac:dyDescent="0.2">
      <c r="O145" s="11"/>
      <c r="P145" s="11"/>
      <c r="Q145" s="11"/>
      <c r="R145" s="57"/>
      <c r="S145" s="57"/>
      <c r="T145" s="57"/>
      <c r="U145" s="57"/>
      <c r="V145" s="57"/>
      <c r="W145" s="57"/>
      <c r="X145" s="57"/>
      <c r="Y145" s="57"/>
      <c r="Z145" s="57"/>
      <c r="AA145" s="72">
        <v>26</v>
      </c>
      <c r="AB145" s="81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82"/>
      <c r="AN145" s="76"/>
      <c r="AO145" s="76"/>
      <c r="AP145" s="76"/>
      <c r="AQ145" s="76"/>
      <c r="AR145" s="72"/>
      <c r="AS145" s="72"/>
      <c r="AT145" s="57">
        <f t="shared" si="0"/>
        <v>0</v>
      </c>
      <c r="AU145" s="57"/>
      <c r="AV145" s="57"/>
      <c r="AW145" s="57"/>
      <c r="AX145" s="57"/>
      <c r="AY145" s="57"/>
      <c r="AZ145" s="57"/>
    </row>
    <row r="146" spans="15:52" ht="15" x14ac:dyDescent="0.2">
      <c r="O146" s="11"/>
      <c r="P146" s="11"/>
      <c r="Q146" s="11"/>
      <c r="R146" s="57"/>
      <c r="S146" s="57"/>
      <c r="T146" s="57"/>
      <c r="U146" s="57"/>
      <c r="V146" s="57"/>
      <c r="W146" s="57"/>
      <c r="X146" s="57"/>
      <c r="Y146" s="57"/>
      <c r="Z146" s="57"/>
      <c r="AA146" s="72">
        <v>27</v>
      </c>
      <c r="AB146" s="81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82"/>
      <c r="AN146" s="76"/>
      <c r="AO146" s="76"/>
      <c r="AP146" s="76"/>
      <c r="AQ146" s="76"/>
      <c r="AR146" s="72"/>
      <c r="AS146" s="72"/>
      <c r="AT146" s="57">
        <f t="shared" si="0"/>
        <v>0</v>
      </c>
      <c r="AU146" s="57"/>
      <c r="AV146" s="57"/>
      <c r="AW146" s="57"/>
      <c r="AX146" s="57"/>
      <c r="AY146" s="57"/>
      <c r="AZ146" s="57"/>
    </row>
    <row r="147" spans="15:52" ht="15" x14ac:dyDescent="0.2">
      <c r="O147" s="11"/>
      <c r="P147" s="11"/>
      <c r="Q147" s="11"/>
      <c r="R147" s="57"/>
      <c r="S147" s="57"/>
      <c r="T147" s="57"/>
      <c r="U147" s="57"/>
      <c r="V147" s="57"/>
      <c r="W147" s="57"/>
      <c r="X147" s="57"/>
      <c r="Y147" s="57"/>
      <c r="Z147" s="57"/>
      <c r="AA147" s="72">
        <v>28</v>
      </c>
      <c r="AB147" s="81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  <c r="AM147" s="82"/>
      <c r="AN147" s="76"/>
      <c r="AO147" s="76"/>
      <c r="AP147" s="76"/>
      <c r="AQ147" s="76"/>
      <c r="AR147" s="72"/>
      <c r="AS147" s="72"/>
      <c r="AT147" s="57">
        <f t="shared" si="0"/>
        <v>0</v>
      </c>
      <c r="AU147" s="57"/>
      <c r="AV147" s="57"/>
      <c r="AW147" s="57"/>
      <c r="AX147" s="57"/>
      <c r="AY147" s="57"/>
      <c r="AZ147" s="57"/>
    </row>
    <row r="148" spans="15:52" ht="15" x14ac:dyDescent="0.2">
      <c r="O148" s="11"/>
      <c r="P148" s="11"/>
      <c r="Q148" s="11"/>
      <c r="R148" s="57"/>
      <c r="S148" s="57"/>
      <c r="T148" s="57"/>
      <c r="U148" s="57"/>
      <c r="V148" s="57"/>
      <c r="W148" s="57"/>
      <c r="X148" s="57"/>
      <c r="Y148" s="57"/>
      <c r="Z148" s="57"/>
      <c r="AA148" s="72">
        <v>29</v>
      </c>
      <c r="AB148" s="81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  <c r="AM148" s="82"/>
      <c r="AN148" s="76"/>
      <c r="AO148" s="76"/>
      <c r="AP148" s="76"/>
      <c r="AQ148" s="76"/>
      <c r="AR148" s="72"/>
      <c r="AS148" s="72"/>
      <c r="AT148" s="57">
        <f t="shared" si="0"/>
        <v>0</v>
      </c>
      <c r="AU148" s="57"/>
      <c r="AV148" s="57"/>
      <c r="AW148" s="57"/>
      <c r="AX148" s="57"/>
      <c r="AY148" s="57"/>
      <c r="AZ148" s="57"/>
    </row>
    <row r="149" spans="15:52" ht="15" x14ac:dyDescent="0.2">
      <c r="O149" s="11"/>
      <c r="P149" s="11"/>
      <c r="Q149" s="11"/>
      <c r="R149" s="57"/>
      <c r="S149" s="57"/>
      <c r="T149" s="57"/>
      <c r="U149" s="57"/>
      <c r="V149" s="57"/>
      <c r="W149" s="57"/>
      <c r="X149" s="57"/>
      <c r="Y149" s="57"/>
      <c r="Z149" s="57"/>
      <c r="AA149" s="72">
        <v>30</v>
      </c>
      <c r="AB149" s="81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82"/>
      <c r="AN149" s="76"/>
      <c r="AO149" s="76"/>
      <c r="AP149" s="76"/>
      <c r="AQ149" s="76"/>
      <c r="AR149" s="72"/>
      <c r="AS149" s="72"/>
      <c r="AT149" s="57">
        <f t="shared" si="0"/>
        <v>0</v>
      </c>
      <c r="AU149" s="57"/>
      <c r="AV149" s="57"/>
      <c r="AW149" s="57"/>
      <c r="AX149" s="57"/>
      <c r="AY149" s="57"/>
      <c r="AZ149" s="57"/>
    </row>
    <row r="150" spans="15:52" ht="15" x14ac:dyDescent="0.2">
      <c r="O150" s="11"/>
      <c r="P150" s="11"/>
      <c r="Q150" s="11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76">
        <v>1</v>
      </c>
      <c r="AC150" s="76">
        <v>2</v>
      </c>
      <c r="AD150" s="76">
        <v>3</v>
      </c>
      <c r="AE150" s="76">
        <v>4</v>
      </c>
      <c r="AF150" s="76">
        <v>5</v>
      </c>
      <c r="AG150" s="76">
        <v>6</v>
      </c>
      <c r="AH150" s="76">
        <v>7</v>
      </c>
      <c r="AI150" s="76">
        <v>8</v>
      </c>
      <c r="AJ150" s="76">
        <v>9</v>
      </c>
      <c r="AK150" s="76">
        <v>10</v>
      </c>
      <c r="AL150" s="76">
        <v>11</v>
      </c>
      <c r="AM150" s="76">
        <v>12</v>
      </c>
      <c r="AN150" s="76">
        <v>13</v>
      </c>
      <c r="AO150" s="76">
        <v>14</v>
      </c>
      <c r="AP150" s="76">
        <v>15</v>
      </c>
      <c r="AQ150" s="76">
        <v>16</v>
      </c>
      <c r="AR150" s="76">
        <v>17</v>
      </c>
      <c r="AS150" s="57">
        <v>18</v>
      </c>
      <c r="AT150" s="57"/>
      <c r="AU150" s="57"/>
      <c r="AV150" s="57"/>
      <c r="AW150" s="57"/>
      <c r="AX150" s="57"/>
      <c r="AY150" s="57"/>
      <c r="AZ150" s="57"/>
    </row>
    <row r="151" spans="15:52" ht="15" x14ac:dyDescent="0.2">
      <c r="O151" s="11"/>
      <c r="P151" s="11"/>
      <c r="Q151" s="11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  <c r="AM151" s="76"/>
      <c r="AN151" s="72"/>
      <c r="AO151" s="72"/>
      <c r="AP151" s="72"/>
      <c r="AQ151" s="72"/>
      <c r="AR151" s="72"/>
      <c r="AS151" s="57"/>
      <c r="AT151" s="57"/>
      <c r="AU151" s="57"/>
      <c r="AV151" s="57"/>
      <c r="AW151" s="57"/>
      <c r="AX151" s="57"/>
      <c r="AY151" s="57"/>
      <c r="AZ151" s="57"/>
    </row>
    <row r="152" spans="15:52" ht="15" x14ac:dyDescent="0.2">
      <c r="O152" s="11"/>
      <c r="P152" s="11"/>
      <c r="Q152" s="11"/>
      <c r="R152" s="57"/>
      <c r="S152" s="57"/>
      <c r="T152" s="57"/>
      <c r="U152" s="57"/>
      <c r="V152" s="57"/>
      <c r="W152" s="57"/>
      <c r="X152" s="57"/>
      <c r="Y152" s="57"/>
      <c r="Z152" s="57"/>
      <c r="AA152" s="57" t="s">
        <v>51</v>
      </c>
      <c r="AB152" s="83">
        <v>11</v>
      </c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57"/>
      <c r="AT152" s="57"/>
      <c r="AU152" s="57"/>
      <c r="AV152" s="57"/>
      <c r="AW152" s="57"/>
      <c r="AX152" s="57"/>
      <c r="AY152" s="57"/>
      <c r="AZ152" s="57"/>
    </row>
    <row r="153" spans="15:52" x14ac:dyDescent="0.2">
      <c r="O153" s="11"/>
      <c r="P153" s="11"/>
      <c r="Q153" s="11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  <c r="AW153" s="57"/>
      <c r="AX153" s="57"/>
      <c r="AY153" s="57"/>
      <c r="AZ153" s="57"/>
    </row>
    <row r="154" spans="15:52" x14ac:dyDescent="0.2">
      <c r="O154" s="11"/>
      <c r="P154" s="11"/>
      <c r="Q154" s="11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  <c r="AW154" s="57"/>
      <c r="AX154" s="57"/>
      <c r="AY154" s="57"/>
      <c r="AZ154" s="57"/>
    </row>
    <row r="155" spans="15:52" x14ac:dyDescent="0.2">
      <c r="O155" s="11"/>
      <c r="P155" s="11"/>
      <c r="Q155" s="11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7"/>
      <c r="AW155" s="57"/>
      <c r="AX155" s="57"/>
      <c r="AY155" s="57"/>
      <c r="AZ155" s="57"/>
    </row>
    <row r="156" spans="15:52" x14ac:dyDescent="0.2">
      <c r="O156" s="11"/>
      <c r="P156" s="11"/>
      <c r="Q156" s="11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  <c r="AW156" s="57"/>
      <c r="AX156" s="57"/>
      <c r="AY156" s="57"/>
      <c r="AZ156" s="57"/>
    </row>
    <row r="157" spans="15:52" x14ac:dyDescent="0.2">
      <c r="O157" s="11"/>
      <c r="P157" s="11"/>
      <c r="Q157" s="11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  <c r="AW157" s="57"/>
      <c r="AX157" s="57"/>
      <c r="AY157" s="57"/>
      <c r="AZ157" s="57"/>
    </row>
    <row r="158" spans="15:52" x14ac:dyDescent="0.2">
      <c r="O158" s="11"/>
      <c r="P158" s="11"/>
      <c r="Q158" s="11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  <c r="AW158" s="57"/>
      <c r="AX158" s="57"/>
      <c r="AY158" s="57"/>
      <c r="AZ158" s="57"/>
    </row>
    <row r="159" spans="15:52" x14ac:dyDescent="0.2">
      <c r="O159" s="11"/>
      <c r="P159" s="11"/>
      <c r="Q159" s="11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</row>
    <row r="160" spans="15:52" x14ac:dyDescent="0.2">
      <c r="O160" s="11"/>
      <c r="P160" s="11"/>
      <c r="Q160" s="11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  <c r="AU160" s="57"/>
      <c r="AV160" s="57"/>
      <c r="AW160" s="57"/>
      <c r="AX160" s="57"/>
      <c r="AY160" s="57"/>
      <c r="AZ160" s="57"/>
    </row>
    <row r="161" spans="15:52" x14ac:dyDescent="0.2">
      <c r="O161" s="11"/>
      <c r="P161" s="11"/>
      <c r="Q161" s="11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</row>
    <row r="162" spans="15:52" x14ac:dyDescent="0.2">
      <c r="O162" s="11"/>
      <c r="P162" s="11"/>
      <c r="Q162" s="11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  <c r="AT162" s="57"/>
      <c r="AU162" s="57"/>
      <c r="AV162" s="57"/>
      <c r="AW162" s="57"/>
      <c r="AX162" s="57"/>
      <c r="AY162" s="57"/>
      <c r="AZ162" s="57"/>
    </row>
    <row r="163" spans="15:52" x14ac:dyDescent="0.2">
      <c r="O163" s="11"/>
      <c r="P163" s="11"/>
      <c r="Q163" s="11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  <c r="AW163" s="57"/>
      <c r="AX163" s="57"/>
      <c r="AY163" s="57"/>
      <c r="AZ163" s="57"/>
    </row>
    <row r="164" spans="15:52" x14ac:dyDescent="0.2">
      <c r="O164" s="11"/>
      <c r="P164" s="11"/>
      <c r="Q164" s="11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57"/>
      <c r="AU164" s="57"/>
      <c r="AV164" s="57"/>
      <c r="AW164" s="57"/>
      <c r="AX164" s="57"/>
      <c r="AY164" s="57"/>
      <c r="AZ164" s="57"/>
    </row>
    <row r="165" spans="15:52" x14ac:dyDescent="0.2">
      <c r="O165" s="11"/>
      <c r="P165" s="11"/>
      <c r="Q165" s="11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7"/>
      <c r="AW165" s="57"/>
      <c r="AX165" s="57"/>
      <c r="AY165" s="57"/>
      <c r="AZ165" s="57"/>
    </row>
    <row r="166" spans="15:52" x14ac:dyDescent="0.2">
      <c r="O166" s="11"/>
      <c r="P166" s="11"/>
      <c r="Q166" s="11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  <c r="AW166" s="57"/>
      <c r="AX166" s="57"/>
      <c r="AY166" s="57"/>
      <c r="AZ166" s="57"/>
    </row>
    <row r="167" spans="15:52" x14ac:dyDescent="0.2">
      <c r="O167" s="11"/>
      <c r="P167" s="11"/>
      <c r="Q167" s="11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</row>
    <row r="168" spans="15:52" x14ac:dyDescent="0.2"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  <c r="AW168" s="57"/>
      <c r="AX168" s="57"/>
      <c r="AY168" s="57"/>
      <c r="AZ168" s="57"/>
    </row>
    <row r="169" spans="15:52" x14ac:dyDescent="0.2"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7"/>
      <c r="AV169" s="57"/>
      <c r="AW169" s="57"/>
      <c r="AX169" s="57"/>
      <c r="AY169" s="57"/>
      <c r="AZ169" s="57"/>
    </row>
    <row r="170" spans="15:52" x14ac:dyDescent="0.2"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/>
      <c r="AV170" s="57"/>
      <c r="AW170" s="57"/>
      <c r="AX170" s="57"/>
      <c r="AY170" s="57"/>
      <c r="AZ170" s="57"/>
    </row>
    <row r="171" spans="15:52" x14ac:dyDescent="0.2"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  <c r="AW171" s="57"/>
      <c r="AX171" s="57"/>
      <c r="AY171" s="57"/>
      <c r="AZ171" s="57"/>
    </row>
    <row r="172" spans="15:52" x14ac:dyDescent="0.2"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</row>
    <row r="173" spans="15:52" x14ac:dyDescent="0.2"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  <c r="AU173" s="57"/>
      <c r="AV173" s="57"/>
      <c r="AW173" s="57"/>
      <c r="AX173" s="57"/>
      <c r="AY173" s="57"/>
      <c r="AZ173" s="57"/>
    </row>
    <row r="174" spans="15:52" x14ac:dyDescent="0.2"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  <c r="AW174" s="57"/>
      <c r="AX174" s="57"/>
      <c r="AY174" s="57"/>
      <c r="AZ174" s="57"/>
    </row>
    <row r="175" spans="15:52" x14ac:dyDescent="0.2"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</row>
    <row r="176" spans="15:52" x14ac:dyDescent="0.2"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  <c r="AW176" s="57"/>
      <c r="AX176" s="57"/>
      <c r="AY176" s="57"/>
      <c r="AZ176" s="57"/>
    </row>
    <row r="177" spans="18:52" x14ac:dyDescent="0.2"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  <c r="AW177" s="57"/>
      <c r="AX177" s="57"/>
      <c r="AY177" s="57"/>
      <c r="AZ177" s="57"/>
    </row>
    <row r="178" spans="18:52" x14ac:dyDescent="0.2"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7"/>
      <c r="AW178" s="57"/>
      <c r="AX178" s="57"/>
      <c r="AY178" s="57"/>
      <c r="AZ178" s="57"/>
    </row>
    <row r="179" spans="18:52" x14ac:dyDescent="0.2"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  <c r="AW179" s="57"/>
      <c r="AX179" s="57"/>
      <c r="AY179" s="57"/>
      <c r="AZ179" s="57"/>
    </row>
    <row r="180" spans="18:52" x14ac:dyDescent="0.2"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  <c r="AT180" s="57"/>
      <c r="AU180" s="57"/>
      <c r="AV180" s="57"/>
      <c r="AW180" s="57"/>
      <c r="AX180" s="57"/>
      <c r="AY180" s="57"/>
      <c r="AZ180" s="57"/>
    </row>
    <row r="181" spans="18:52" x14ac:dyDescent="0.2"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  <c r="AU181" s="57"/>
      <c r="AV181" s="57"/>
      <c r="AW181" s="57"/>
      <c r="AX181" s="57"/>
      <c r="AY181" s="57"/>
      <c r="AZ181" s="57"/>
    </row>
    <row r="182" spans="18:52" x14ac:dyDescent="0.2"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  <c r="AW182" s="57"/>
      <c r="AX182" s="57"/>
      <c r="AY182" s="57"/>
      <c r="AZ182" s="57"/>
    </row>
    <row r="183" spans="18:52" x14ac:dyDescent="0.2"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7"/>
      <c r="AV183" s="57"/>
      <c r="AW183" s="57"/>
      <c r="AX183" s="57"/>
      <c r="AY183" s="57"/>
      <c r="AZ183" s="57"/>
    </row>
    <row r="184" spans="18:52" x14ac:dyDescent="0.2"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57"/>
      <c r="AY184" s="57"/>
      <c r="AZ184" s="57"/>
    </row>
    <row r="185" spans="18:52" x14ac:dyDescent="0.2"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57"/>
      <c r="AU185" s="57"/>
      <c r="AV185" s="57"/>
      <c r="AW185" s="57"/>
      <c r="AX185" s="57"/>
      <c r="AY185" s="57"/>
      <c r="AZ185" s="57"/>
    </row>
    <row r="186" spans="18:52" x14ac:dyDescent="0.2"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  <c r="AW186" s="57"/>
      <c r="AX186" s="57"/>
      <c r="AY186" s="57"/>
      <c r="AZ186" s="57"/>
    </row>
    <row r="187" spans="18:52" x14ac:dyDescent="0.2"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</row>
    <row r="188" spans="18:52" x14ac:dyDescent="0.2"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</row>
    <row r="189" spans="18:52" x14ac:dyDescent="0.2"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</row>
    <row r="190" spans="18:52" x14ac:dyDescent="0.2"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  <c r="AW190" s="57"/>
      <c r="AX190" s="57"/>
      <c r="AY190" s="57"/>
      <c r="AZ190" s="57"/>
    </row>
    <row r="191" spans="18:52" x14ac:dyDescent="0.2"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  <c r="AW191" s="57"/>
      <c r="AX191" s="57"/>
      <c r="AY191" s="57"/>
      <c r="AZ191" s="57"/>
    </row>
    <row r="192" spans="18:52" x14ac:dyDescent="0.2"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  <c r="AW192" s="57"/>
      <c r="AX192" s="57"/>
      <c r="AY192" s="57"/>
      <c r="AZ192" s="57"/>
    </row>
    <row r="193" spans="18:52" x14ac:dyDescent="0.2"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  <c r="AW193" s="57"/>
      <c r="AX193" s="57"/>
      <c r="AY193" s="57"/>
      <c r="AZ193" s="57"/>
    </row>
    <row r="194" spans="18:52" x14ac:dyDescent="0.2"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  <c r="AW194" s="57"/>
      <c r="AX194" s="57"/>
      <c r="AY194" s="57"/>
      <c r="AZ194" s="57"/>
    </row>
    <row r="195" spans="18:52" x14ac:dyDescent="0.2"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  <c r="AW195" s="57"/>
      <c r="AX195" s="57"/>
      <c r="AY195" s="57"/>
      <c r="AZ195" s="57"/>
    </row>
    <row r="196" spans="18:52" x14ac:dyDescent="0.2"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  <c r="AW196" s="57"/>
      <c r="AX196" s="57"/>
      <c r="AY196" s="57"/>
      <c r="AZ196" s="57"/>
    </row>
    <row r="197" spans="18:52" x14ac:dyDescent="0.2"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  <c r="AW197" s="57"/>
      <c r="AX197" s="57"/>
      <c r="AY197" s="57"/>
      <c r="AZ197" s="57"/>
    </row>
    <row r="198" spans="18:52" x14ac:dyDescent="0.2"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7"/>
      <c r="AV198" s="57"/>
      <c r="AW198" s="57"/>
      <c r="AX198" s="57"/>
      <c r="AY198" s="57"/>
      <c r="AZ198" s="57"/>
    </row>
    <row r="199" spans="18:52" x14ac:dyDescent="0.2"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</row>
    <row r="200" spans="18:52" x14ac:dyDescent="0.2"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7"/>
      <c r="AV200" s="57"/>
      <c r="AW200" s="57"/>
      <c r="AX200" s="57"/>
      <c r="AY200" s="57"/>
      <c r="AZ200" s="57"/>
    </row>
    <row r="201" spans="18:52" x14ac:dyDescent="0.2"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7"/>
      <c r="AW201" s="57"/>
      <c r="AX201" s="57"/>
      <c r="AY201" s="57"/>
      <c r="AZ201" s="57"/>
    </row>
    <row r="202" spans="18:52" x14ac:dyDescent="0.2"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57"/>
      <c r="AU202" s="57"/>
      <c r="AV202" s="57"/>
      <c r="AW202" s="57"/>
      <c r="AX202" s="57"/>
      <c r="AY202" s="57"/>
      <c r="AZ202" s="57"/>
    </row>
    <row r="203" spans="18:52" x14ac:dyDescent="0.2"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  <c r="AT203" s="57"/>
      <c r="AU203" s="57"/>
      <c r="AV203" s="57"/>
      <c r="AW203" s="57"/>
      <c r="AX203" s="57"/>
      <c r="AY203" s="57"/>
      <c r="AZ203" s="57"/>
    </row>
    <row r="204" spans="18:52" x14ac:dyDescent="0.2"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  <c r="AU204" s="57"/>
      <c r="AV204" s="57"/>
      <c r="AW204" s="57"/>
      <c r="AX204" s="57"/>
      <c r="AY204" s="57"/>
      <c r="AZ204" s="57"/>
    </row>
    <row r="205" spans="18:52" x14ac:dyDescent="0.2"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57"/>
      <c r="AU205" s="57"/>
      <c r="AV205" s="57"/>
      <c r="AW205" s="57"/>
      <c r="AX205" s="57"/>
      <c r="AY205" s="57"/>
      <c r="AZ205" s="57"/>
    </row>
    <row r="206" spans="18:52" x14ac:dyDescent="0.2"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/>
      <c r="AU206" s="57"/>
      <c r="AV206" s="57"/>
      <c r="AW206" s="57"/>
      <c r="AX206" s="57"/>
      <c r="AY206" s="57"/>
      <c r="AZ206" s="57"/>
    </row>
    <row r="207" spans="18:52" x14ac:dyDescent="0.2"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  <c r="AU207" s="57"/>
      <c r="AV207" s="57"/>
      <c r="AW207" s="57"/>
      <c r="AX207" s="57"/>
      <c r="AY207" s="57"/>
      <c r="AZ207" s="57"/>
    </row>
    <row r="208" spans="18:52" x14ac:dyDescent="0.2"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  <c r="AU208" s="57"/>
      <c r="AV208" s="57"/>
      <c r="AW208" s="57"/>
      <c r="AX208" s="57"/>
      <c r="AY208" s="57"/>
      <c r="AZ208" s="57"/>
    </row>
    <row r="209" spans="18:52" x14ac:dyDescent="0.2"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57"/>
      <c r="AU209" s="57"/>
      <c r="AV209" s="57"/>
      <c r="AW209" s="57"/>
      <c r="AX209" s="57"/>
      <c r="AY209" s="57"/>
      <c r="AZ209" s="57"/>
    </row>
    <row r="210" spans="18:52" x14ac:dyDescent="0.2"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  <c r="AU210" s="57"/>
      <c r="AV210" s="57"/>
      <c r="AW210" s="57"/>
      <c r="AX210" s="57"/>
      <c r="AY210" s="57"/>
      <c r="AZ210" s="57"/>
    </row>
    <row r="211" spans="18:52" x14ac:dyDescent="0.2"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  <c r="AU211" s="57"/>
      <c r="AV211" s="57"/>
      <c r="AW211" s="57"/>
      <c r="AX211" s="57"/>
      <c r="AY211" s="57"/>
      <c r="AZ211" s="57"/>
    </row>
    <row r="212" spans="18:52" x14ac:dyDescent="0.2"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7"/>
      <c r="AT212" s="57"/>
      <c r="AU212" s="57"/>
      <c r="AV212" s="57"/>
      <c r="AW212" s="57"/>
      <c r="AX212" s="57"/>
      <c r="AY212" s="57"/>
      <c r="AZ212" s="57"/>
    </row>
    <row r="213" spans="18:52" x14ac:dyDescent="0.2"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  <c r="AW213" s="57"/>
      <c r="AX213" s="57"/>
      <c r="AY213" s="57"/>
      <c r="AZ213" s="57"/>
    </row>
    <row r="214" spans="18:52" x14ac:dyDescent="0.2"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57"/>
      <c r="AU214" s="57"/>
      <c r="AV214" s="57"/>
      <c r="AW214" s="57"/>
      <c r="AX214" s="57"/>
      <c r="AY214" s="57"/>
      <c r="AZ214" s="57"/>
    </row>
    <row r="215" spans="18:52" x14ac:dyDescent="0.2"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  <c r="AT215" s="57"/>
      <c r="AU215" s="57"/>
      <c r="AV215" s="57"/>
      <c r="AW215" s="57"/>
      <c r="AX215" s="57"/>
      <c r="AY215" s="57"/>
      <c r="AZ215" s="57"/>
    </row>
    <row r="216" spans="18:52" x14ac:dyDescent="0.2"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57"/>
      <c r="AU216" s="57"/>
      <c r="AV216" s="57"/>
      <c r="AW216" s="57"/>
      <c r="AX216" s="57"/>
      <c r="AY216" s="57"/>
      <c r="AZ216" s="57"/>
    </row>
    <row r="217" spans="18:52" x14ac:dyDescent="0.2"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  <c r="AR217" s="57"/>
      <c r="AS217" s="57"/>
      <c r="AT217" s="57"/>
      <c r="AU217" s="57"/>
      <c r="AV217" s="57"/>
      <c r="AW217" s="57"/>
      <c r="AX217" s="57"/>
      <c r="AY217" s="57"/>
      <c r="AZ217" s="57"/>
    </row>
    <row r="218" spans="18:52" x14ac:dyDescent="0.2"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  <c r="AR218" s="57"/>
      <c r="AS218" s="57"/>
      <c r="AT218" s="57"/>
      <c r="AU218" s="57"/>
      <c r="AV218" s="57"/>
      <c r="AW218" s="57"/>
      <c r="AX218" s="57"/>
      <c r="AY218" s="57"/>
      <c r="AZ218" s="57"/>
    </row>
    <row r="219" spans="18:52" x14ac:dyDescent="0.2"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7"/>
      <c r="AP219" s="57"/>
      <c r="AQ219" s="57"/>
      <c r="AR219" s="57"/>
      <c r="AS219" s="57"/>
      <c r="AT219" s="57"/>
      <c r="AU219" s="57"/>
      <c r="AV219" s="57"/>
      <c r="AW219" s="57"/>
      <c r="AX219" s="57"/>
      <c r="AY219" s="57"/>
      <c r="AZ219" s="57"/>
    </row>
    <row r="220" spans="18:52" x14ac:dyDescent="0.2"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  <c r="AR220" s="57"/>
      <c r="AS220" s="57"/>
      <c r="AT220" s="57"/>
      <c r="AU220" s="57"/>
      <c r="AV220" s="57"/>
      <c r="AW220" s="57"/>
      <c r="AX220" s="57"/>
      <c r="AY220" s="57"/>
      <c r="AZ220" s="57"/>
    </row>
    <row r="221" spans="18:52" x14ac:dyDescent="0.2"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  <c r="AN221" s="57"/>
      <c r="AO221" s="57"/>
      <c r="AP221" s="57"/>
      <c r="AQ221" s="57"/>
      <c r="AR221" s="57"/>
      <c r="AS221" s="57"/>
      <c r="AT221" s="57"/>
      <c r="AU221" s="57"/>
      <c r="AV221" s="57"/>
      <c r="AW221" s="57"/>
      <c r="AX221" s="57"/>
      <c r="AY221" s="57"/>
      <c r="AZ221" s="57"/>
    </row>
    <row r="222" spans="18:52" x14ac:dyDescent="0.2"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/>
      <c r="AM222" s="57"/>
      <c r="AN222" s="57"/>
      <c r="AO222" s="57"/>
      <c r="AP222" s="57"/>
      <c r="AQ222" s="57"/>
      <c r="AR222" s="57"/>
      <c r="AS222" s="57"/>
      <c r="AT222" s="57"/>
      <c r="AU222" s="57"/>
      <c r="AV222" s="57"/>
      <c r="AW222" s="57"/>
      <c r="AX222" s="57"/>
      <c r="AY222" s="57"/>
      <c r="AZ222" s="57"/>
    </row>
    <row r="223" spans="18:52" x14ac:dyDescent="0.2"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7"/>
      <c r="AT223" s="57"/>
      <c r="AU223" s="57"/>
      <c r="AV223" s="57"/>
      <c r="AW223" s="57"/>
      <c r="AX223" s="57"/>
      <c r="AY223" s="57"/>
      <c r="AZ223" s="57"/>
    </row>
    <row r="224" spans="18:52" x14ac:dyDescent="0.2"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57"/>
      <c r="AQ224" s="57"/>
      <c r="AR224" s="57"/>
      <c r="AS224" s="57"/>
      <c r="AT224" s="57"/>
      <c r="AU224" s="57"/>
      <c r="AV224" s="57"/>
      <c r="AW224" s="57"/>
      <c r="AX224" s="57"/>
      <c r="AY224" s="57"/>
      <c r="AZ224" s="57"/>
    </row>
    <row r="225" spans="18:52" x14ac:dyDescent="0.2"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57"/>
      <c r="AM225" s="57"/>
      <c r="AN225" s="57"/>
      <c r="AO225" s="57"/>
      <c r="AP225" s="57"/>
      <c r="AQ225" s="57"/>
      <c r="AR225" s="57"/>
      <c r="AS225" s="57"/>
      <c r="AT225" s="57"/>
      <c r="AU225" s="57"/>
      <c r="AV225" s="57"/>
      <c r="AW225" s="57"/>
      <c r="AX225" s="57"/>
      <c r="AY225" s="57"/>
      <c r="AZ225" s="57"/>
    </row>
    <row r="226" spans="18:52" x14ac:dyDescent="0.2"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57"/>
      <c r="AP226" s="57"/>
      <c r="AQ226" s="57"/>
      <c r="AR226" s="57"/>
      <c r="AS226" s="57"/>
      <c r="AT226" s="57"/>
      <c r="AU226" s="57"/>
      <c r="AV226" s="57"/>
      <c r="AW226" s="57"/>
      <c r="AX226" s="57"/>
      <c r="AY226" s="57"/>
      <c r="AZ226" s="57"/>
    </row>
    <row r="227" spans="18:52" x14ac:dyDescent="0.2"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  <c r="AN227" s="57"/>
      <c r="AO227" s="57"/>
      <c r="AP227" s="57"/>
      <c r="AQ227" s="57"/>
      <c r="AR227" s="57"/>
      <c r="AS227" s="57"/>
      <c r="AT227" s="57"/>
      <c r="AU227" s="57"/>
      <c r="AV227" s="57"/>
      <c r="AW227" s="57"/>
      <c r="AX227" s="57"/>
      <c r="AY227" s="57"/>
      <c r="AZ227" s="57"/>
    </row>
    <row r="228" spans="18:52" x14ac:dyDescent="0.2"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/>
      <c r="AM228" s="57"/>
      <c r="AN228" s="57"/>
      <c r="AO228" s="57"/>
      <c r="AP228" s="57"/>
      <c r="AQ228" s="57"/>
      <c r="AR228" s="57"/>
      <c r="AS228" s="57"/>
      <c r="AT228" s="57"/>
      <c r="AU228" s="57"/>
      <c r="AV228" s="57"/>
      <c r="AW228" s="57"/>
      <c r="AX228" s="57"/>
      <c r="AY228" s="57"/>
      <c r="AZ228" s="57"/>
    </row>
    <row r="229" spans="18:52" x14ac:dyDescent="0.2"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57"/>
      <c r="AQ229" s="57"/>
      <c r="AR229" s="57"/>
      <c r="AS229" s="57"/>
      <c r="AT229" s="57"/>
      <c r="AU229" s="57"/>
      <c r="AV229" s="57"/>
      <c r="AW229" s="57"/>
      <c r="AX229" s="57"/>
      <c r="AY229" s="57"/>
      <c r="AZ229" s="57"/>
    </row>
    <row r="230" spans="18:52" x14ac:dyDescent="0.2"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57"/>
      <c r="AO230" s="57"/>
      <c r="AP230" s="57"/>
      <c r="AQ230" s="57"/>
      <c r="AR230" s="57"/>
      <c r="AS230" s="57"/>
      <c r="AT230" s="57"/>
      <c r="AU230" s="57"/>
      <c r="AV230" s="57"/>
      <c r="AW230" s="57"/>
      <c r="AX230" s="57"/>
      <c r="AY230" s="57"/>
      <c r="AZ230" s="57"/>
    </row>
    <row r="231" spans="18:52" x14ac:dyDescent="0.2"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  <c r="AN231" s="57"/>
      <c r="AO231" s="57"/>
      <c r="AP231" s="57"/>
      <c r="AQ231" s="57"/>
      <c r="AR231" s="57"/>
      <c r="AS231" s="57"/>
      <c r="AT231" s="57"/>
      <c r="AU231" s="57"/>
      <c r="AV231" s="57"/>
      <c r="AW231" s="57"/>
      <c r="AX231" s="57"/>
      <c r="AY231" s="57"/>
      <c r="AZ231" s="57"/>
    </row>
    <row r="232" spans="18:52" x14ac:dyDescent="0.2"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57"/>
      <c r="AU232" s="57"/>
      <c r="AV232" s="57"/>
      <c r="AW232" s="57"/>
      <c r="AX232" s="57"/>
      <c r="AY232" s="57"/>
      <c r="AZ232" s="57"/>
    </row>
    <row r="233" spans="18:52" x14ac:dyDescent="0.2"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57"/>
      <c r="AO233" s="57"/>
      <c r="AP233" s="57"/>
      <c r="AQ233" s="57"/>
      <c r="AR233" s="57"/>
      <c r="AS233" s="57"/>
      <c r="AT233" s="57"/>
      <c r="AU233" s="57"/>
      <c r="AV233" s="57"/>
      <c r="AW233" s="57"/>
      <c r="AX233" s="57"/>
      <c r="AY233" s="57"/>
      <c r="AZ233" s="57"/>
    </row>
    <row r="234" spans="18:52" x14ac:dyDescent="0.2"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57"/>
      <c r="AO234" s="57"/>
      <c r="AP234" s="57"/>
      <c r="AQ234" s="57"/>
      <c r="AR234" s="57"/>
      <c r="AS234" s="57"/>
      <c r="AT234" s="57"/>
      <c r="AU234" s="57"/>
      <c r="AV234" s="57"/>
      <c r="AW234" s="57"/>
      <c r="AX234" s="57"/>
      <c r="AY234" s="57"/>
      <c r="AZ234" s="57"/>
    </row>
    <row r="235" spans="18:52" x14ac:dyDescent="0.2"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7"/>
      <c r="AP235" s="57"/>
      <c r="AQ235" s="57"/>
      <c r="AR235" s="57"/>
      <c r="AS235" s="57"/>
      <c r="AT235" s="57"/>
      <c r="AU235" s="57"/>
      <c r="AV235" s="57"/>
      <c r="AW235" s="57"/>
      <c r="AX235" s="57"/>
      <c r="AY235" s="57"/>
      <c r="AZ235" s="57"/>
    </row>
    <row r="236" spans="18:52" x14ac:dyDescent="0.2"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  <c r="AT236" s="57"/>
      <c r="AU236" s="57"/>
      <c r="AV236" s="57"/>
      <c r="AW236" s="57"/>
      <c r="AX236" s="57"/>
      <c r="AY236" s="57"/>
      <c r="AZ236" s="57"/>
    </row>
    <row r="237" spans="18:52" x14ac:dyDescent="0.2"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  <c r="AR237" s="57"/>
      <c r="AS237" s="57"/>
      <c r="AT237" s="57"/>
      <c r="AU237" s="57"/>
      <c r="AV237" s="57"/>
      <c r="AW237" s="57"/>
      <c r="AX237" s="57"/>
      <c r="AY237" s="57"/>
      <c r="AZ237" s="57"/>
    </row>
    <row r="238" spans="18:52" x14ac:dyDescent="0.2"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  <c r="AR238" s="57"/>
      <c r="AS238" s="57"/>
      <c r="AT238" s="57"/>
      <c r="AU238" s="57"/>
      <c r="AV238" s="57"/>
      <c r="AW238" s="57"/>
      <c r="AX238" s="57"/>
      <c r="AY238" s="57"/>
      <c r="AZ238" s="57"/>
    </row>
    <row r="239" spans="18:52" x14ac:dyDescent="0.2"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  <c r="AN239" s="57"/>
      <c r="AO239" s="57"/>
      <c r="AP239" s="57"/>
      <c r="AQ239" s="57"/>
      <c r="AR239" s="57"/>
      <c r="AS239" s="57"/>
      <c r="AT239" s="57"/>
      <c r="AU239" s="57"/>
      <c r="AV239" s="57"/>
      <c r="AW239" s="57"/>
      <c r="AX239" s="57"/>
      <c r="AY239" s="57"/>
      <c r="AZ239" s="57"/>
    </row>
    <row r="240" spans="18:52" x14ac:dyDescent="0.2"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  <c r="AN240" s="57"/>
      <c r="AO240" s="57"/>
      <c r="AP240" s="57"/>
      <c r="AQ240" s="57"/>
      <c r="AR240" s="57"/>
      <c r="AS240" s="57"/>
      <c r="AT240" s="57"/>
      <c r="AU240" s="57"/>
      <c r="AV240" s="57"/>
      <c r="AW240" s="57"/>
      <c r="AX240" s="57"/>
      <c r="AY240" s="57"/>
      <c r="AZ240" s="57"/>
    </row>
    <row r="241" spans="18:52" x14ac:dyDescent="0.2"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  <c r="AR241" s="57"/>
      <c r="AS241" s="57"/>
      <c r="AT241" s="57"/>
      <c r="AU241" s="57"/>
      <c r="AV241" s="57"/>
      <c r="AW241" s="57"/>
      <c r="AX241" s="57"/>
      <c r="AY241" s="57"/>
      <c r="AZ241" s="57"/>
    </row>
    <row r="242" spans="18:52" x14ac:dyDescent="0.2"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7"/>
      <c r="AP242" s="57"/>
      <c r="AQ242" s="57"/>
      <c r="AR242" s="57"/>
      <c r="AS242" s="57"/>
      <c r="AT242" s="57"/>
      <c r="AU242" s="57"/>
      <c r="AV242" s="57"/>
      <c r="AW242" s="57"/>
      <c r="AX242" s="57"/>
      <c r="AY242" s="57"/>
      <c r="AZ242" s="57"/>
    </row>
    <row r="243" spans="18:52" x14ac:dyDescent="0.2"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  <c r="AN243" s="57"/>
      <c r="AO243" s="57"/>
      <c r="AP243" s="57"/>
      <c r="AQ243" s="57"/>
      <c r="AR243" s="57"/>
      <c r="AS243" s="57"/>
      <c r="AT243" s="57"/>
      <c r="AU243" s="57"/>
      <c r="AV243" s="57"/>
      <c r="AW243" s="57"/>
      <c r="AX243" s="57"/>
      <c r="AY243" s="57"/>
      <c r="AZ243" s="57"/>
    </row>
    <row r="244" spans="18:52" x14ac:dyDescent="0.2"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  <c r="AR244" s="57"/>
      <c r="AS244" s="57"/>
      <c r="AT244" s="57"/>
      <c r="AU244" s="57"/>
      <c r="AV244" s="57"/>
      <c r="AW244" s="57"/>
      <c r="AX244" s="57"/>
      <c r="AY244" s="57"/>
      <c r="AZ244" s="57"/>
    </row>
    <row r="245" spans="18:52" x14ac:dyDescent="0.2"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  <c r="AR245" s="57"/>
      <c r="AS245" s="57"/>
      <c r="AT245" s="57"/>
      <c r="AU245" s="57"/>
      <c r="AV245" s="57"/>
      <c r="AW245" s="57"/>
      <c r="AX245" s="57"/>
      <c r="AY245" s="57"/>
      <c r="AZ245" s="57"/>
    </row>
    <row r="246" spans="18:52" x14ac:dyDescent="0.2"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  <c r="AN246" s="57"/>
      <c r="AO246" s="57"/>
      <c r="AP246" s="57"/>
      <c r="AQ246" s="57"/>
      <c r="AR246" s="57"/>
      <c r="AS246" s="57"/>
      <c r="AT246" s="57"/>
      <c r="AU246" s="57"/>
      <c r="AV246" s="57"/>
      <c r="AW246" s="57"/>
      <c r="AX246" s="57"/>
      <c r="AY246" s="57"/>
      <c r="AZ246" s="57"/>
    </row>
    <row r="247" spans="18:52" x14ac:dyDescent="0.2"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  <c r="AT247" s="57"/>
      <c r="AU247" s="57"/>
      <c r="AV247" s="57"/>
      <c r="AW247" s="57"/>
      <c r="AX247" s="57"/>
      <c r="AY247" s="57"/>
      <c r="AZ247" s="57"/>
    </row>
    <row r="248" spans="18:52" x14ac:dyDescent="0.2"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7"/>
      <c r="AN248" s="57"/>
      <c r="AO248" s="57"/>
      <c r="AP248" s="57"/>
      <c r="AQ248" s="57"/>
      <c r="AR248" s="57"/>
      <c r="AS248" s="57"/>
      <c r="AT248" s="57"/>
      <c r="AU248" s="57"/>
      <c r="AV248" s="57"/>
      <c r="AW248" s="57"/>
      <c r="AX248" s="57"/>
      <c r="AY248" s="57"/>
      <c r="AZ248" s="57"/>
    </row>
    <row r="249" spans="18:52" x14ac:dyDescent="0.2"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7"/>
      <c r="AN249" s="57"/>
      <c r="AO249" s="57"/>
      <c r="AP249" s="57"/>
      <c r="AQ249" s="57"/>
      <c r="AR249" s="57"/>
      <c r="AS249" s="57"/>
      <c r="AT249" s="57"/>
      <c r="AU249" s="57"/>
      <c r="AV249" s="57"/>
      <c r="AW249" s="57"/>
      <c r="AX249" s="57"/>
      <c r="AY249" s="57"/>
      <c r="AZ249" s="57"/>
    </row>
    <row r="250" spans="18:52" x14ac:dyDescent="0.2"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  <c r="AT250" s="57"/>
      <c r="AU250" s="57"/>
      <c r="AV250" s="57"/>
      <c r="AW250" s="57"/>
      <c r="AX250" s="57"/>
      <c r="AY250" s="57"/>
      <c r="AZ250" s="57"/>
    </row>
    <row r="251" spans="18:52" x14ac:dyDescent="0.2"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  <c r="AN251" s="57"/>
      <c r="AO251" s="57"/>
      <c r="AP251" s="57"/>
      <c r="AQ251" s="57"/>
      <c r="AR251" s="57"/>
      <c r="AS251" s="57"/>
      <c r="AT251" s="57"/>
      <c r="AU251" s="57"/>
      <c r="AV251" s="57"/>
      <c r="AW251" s="57"/>
      <c r="AX251" s="57"/>
      <c r="AY251" s="57"/>
      <c r="AZ251" s="57"/>
    </row>
    <row r="252" spans="18:52" x14ac:dyDescent="0.2"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  <c r="AN252" s="57"/>
      <c r="AO252" s="57"/>
      <c r="AP252" s="57"/>
      <c r="AQ252" s="57"/>
      <c r="AR252" s="57"/>
      <c r="AS252" s="57"/>
      <c r="AT252" s="57"/>
      <c r="AU252" s="57"/>
      <c r="AV252" s="57"/>
      <c r="AW252" s="57"/>
      <c r="AX252" s="57"/>
      <c r="AY252" s="57"/>
      <c r="AZ252" s="57"/>
    </row>
    <row r="253" spans="18:52" x14ac:dyDescent="0.2"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  <c r="AT253" s="57"/>
      <c r="AU253" s="57"/>
      <c r="AV253" s="57"/>
      <c r="AW253" s="57"/>
      <c r="AX253" s="57"/>
      <c r="AY253" s="57"/>
      <c r="AZ253" s="57"/>
    </row>
    <row r="254" spans="18:52" x14ac:dyDescent="0.2"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7"/>
      <c r="AN254" s="57"/>
      <c r="AO254" s="57"/>
      <c r="AP254" s="57"/>
      <c r="AQ254" s="57"/>
      <c r="AR254" s="57"/>
      <c r="AS254" s="57"/>
      <c r="AT254" s="57"/>
      <c r="AU254" s="57"/>
      <c r="AV254" s="57"/>
      <c r="AW254" s="57"/>
      <c r="AX254" s="57"/>
      <c r="AY254" s="57"/>
      <c r="AZ254" s="57"/>
    </row>
    <row r="255" spans="18:52" x14ac:dyDescent="0.2"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  <c r="AN255" s="57"/>
      <c r="AO255" s="57"/>
      <c r="AP255" s="57"/>
      <c r="AQ255" s="57"/>
      <c r="AR255" s="57"/>
      <c r="AS255" s="57"/>
      <c r="AT255" s="57"/>
      <c r="AU255" s="57"/>
      <c r="AV255" s="57"/>
      <c r="AW255" s="57"/>
      <c r="AX255" s="57"/>
      <c r="AY255" s="57"/>
      <c r="AZ255" s="57"/>
    </row>
    <row r="256" spans="18:52" x14ac:dyDescent="0.2"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  <c r="AM256" s="57"/>
      <c r="AN256" s="57"/>
      <c r="AO256" s="57"/>
      <c r="AP256" s="57"/>
      <c r="AQ256" s="57"/>
      <c r="AR256" s="57"/>
      <c r="AS256" s="57"/>
      <c r="AT256" s="57"/>
      <c r="AU256" s="57"/>
      <c r="AV256" s="57"/>
      <c r="AW256" s="57"/>
      <c r="AX256" s="57"/>
      <c r="AY256" s="57"/>
      <c r="AZ256" s="57"/>
    </row>
    <row r="257" spans="18:52" x14ac:dyDescent="0.2"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57"/>
      <c r="AK257" s="57"/>
      <c r="AL257" s="57"/>
      <c r="AM257" s="57"/>
      <c r="AN257" s="57"/>
      <c r="AO257" s="57"/>
      <c r="AP257" s="57"/>
      <c r="AQ257" s="57"/>
      <c r="AR257" s="57"/>
      <c r="AS257" s="57"/>
      <c r="AT257" s="57"/>
      <c r="AU257" s="57"/>
      <c r="AV257" s="57"/>
      <c r="AW257" s="57"/>
      <c r="AX257" s="57"/>
      <c r="AY257" s="57"/>
      <c r="AZ257" s="57"/>
    </row>
    <row r="258" spans="18:52" x14ac:dyDescent="0.2"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/>
      <c r="AK258" s="57"/>
      <c r="AL258" s="57"/>
      <c r="AM258" s="57"/>
      <c r="AN258" s="57"/>
      <c r="AO258" s="57"/>
      <c r="AP258" s="57"/>
      <c r="AQ258" s="57"/>
      <c r="AR258" s="57"/>
      <c r="AS258" s="57"/>
      <c r="AT258" s="57"/>
      <c r="AU258" s="57"/>
      <c r="AV258" s="57"/>
      <c r="AW258" s="57"/>
      <c r="AX258" s="57"/>
      <c r="AY258" s="57"/>
      <c r="AZ258" s="57"/>
    </row>
    <row r="259" spans="18:52" x14ac:dyDescent="0.2"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/>
      <c r="AK259" s="57"/>
      <c r="AL259" s="57"/>
      <c r="AM259" s="57"/>
      <c r="AN259" s="57"/>
      <c r="AO259" s="57"/>
      <c r="AP259" s="57"/>
      <c r="AQ259" s="57"/>
      <c r="AR259" s="57"/>
      <c r="AS259" s="57"/>
      <c r="AT259" s="57"/>
      <c r="AU259" s="57"/>
      <c r="AV259" s="57"/>
      <c r="AW259" s="57"/>
      <c r="AX259" s="57"/>
      <c r="AY259" s="57"/>
      <c r="AZ259" s="57"/>
    </row>
    <row r="260" spans="18:52" x14ac:dyDescent="0.2"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/>
      <c r="AK260" s="57"/>
      <c r="AL260" s="57"/>
      <c r="AM260" s="57"/>
      <c r="AN260" s="57"/>
      <c r="AO260" s="57"/>
      <c r="AP260" s="57"/>
      <c r="AQ260" s="57"/>
      <c r="AR260" s="57"/>
      <c r="AS260" s="57"/>
      <c r="AT260" s="57"/>
      <c r="AU260" s="57"/>
      <c r="AV260" s="57"/>
      <c r="AW260" s="57"/>
      <c r="AX260" s="57"/>
      <c r="AY260" s="57"/>
      <c r="AZ260" s="57"/>
    </row>
    <row r="261" spans="18:52" x14ac:dyDescent="0.2"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/>
      <c r="AK261" s="57"/>
      <c r="AL261" s="57"/>
      <c r="AM261" s="57"/>
      <c r="AN261" s="57"/>
      <c r="AO261" s="57"/>
      <c r="AP261" s="57"/>
      <c r="AQ261" s="57"/>
      <c r="AR261" s="57"/>
      <c r="AS261" s="57"/>
      <c r="AT261" s="57"/>
      <c r="AU261" s="57"/>
      <c r="AV261" s="57"/>
      <c r="AW261" s="57"/>
      <c r="AX261" s="57"/>
      <c r="AY261" s="57"/>
      <c r="AZ261" s="57"/>
    </row>
    <row r="262" spans="18:52" x14ac:dyDescent="0.2"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  <c r="AR262" s="57"/>
      <c r="AS262" s="57"/>
      <c r="AT262" s="57"/>
      <c r="AU262" s="57"/>
      <c r="AV262" s="57"/>
      <c r="AW262" s="57"/>
      <c r="AX262" s="57"/>
      <c r="AY262" s="57"/>
      <c r="AZ262" s="57"/>
    </row>
    <row r="263" spans="18:52" x14ac:dyDescent="0.2"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  <c r="AR263" s="57"/>
      <c r="AS263" s="57"/>
      <c r="AT263" s="57"/>
      <c r="AU263" s="57"/>
      <c r="AV263" s="57"/>
      <c r="AW263" s="57"/>
      <c r="AX263" s="57"/>
      <c r="AY263" s="57"/>
      <c r="AZ263" s="57"/>
    </row>
    <row r="264" spans="18:52" x14ac:dyDescent="0.2"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/>
      <c r="AK264" s="57"/>
      <c r="AL264" s="57"/>
      <c r="AM264" s="57"/>
      <c r="AN264" s="57"/>
      <c r="AO264" s="57"/>
      <c r="AP264" s="57"/>
      <c r="AQ264" s="57"/>
      <c r="AR264" s="57"/>
      <c r="AS264" s="57"/>
      <c r="AT264" s="57"/>
      <c r="AU264" s="57"/>
      <c r="AV264" s="57"/>
      <c r="AW264" s="57"/>
      <c r="AX264" s="57"/>
      <c r="AY264" s="57"/>
      <c r="AZ264" s="57"/>
    </row>
    <row r="265" spans="18:52" x14ac:dyDescent="0.2"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  <c r="AT265" s="57"/>
      <c r="AU265" s="57"/>
      <c r="AV265" s="57"/>
      <c r="AW265" s="57"/>
      <c r="AX265" s="57"/>
      <c r="AY265" s="57"/>
      <c r="AZ265" s="57"/>
    </row>
    <row r="266" spans="18:52" x14ac:dyDescent="0.2"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/>
      <c r="AK266" s="57"/>
      <c r="AL266" s="57"/>
      <c r="AM266" s="57"/>
      <c r="AN266" s="57"/>
      <c r="AO266" s="57"/>
      <c r="AP266" s="57"/>
      <c r="AQ266" s="57"/>
      <c r="AR266" s="57"/>
      <c r="AS266" s="57"/>
      <c r="AT266" s="57"/>
      <c r="AU266" s="57"/>
      <c r="AV266" s="57"/>
      <c r="AW266" s="57"/>
      <c r="AX266" s="57"/>
      <c r="AY266" s="57"/>
      <c r="AZ266" s="57"/>
    </row>
    <row r="267" spans="18:52" x14ac:dyDescent="0.2"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  <c r="AL267" s="57"/>
      <c r="AM267" s="57"/>
      <c r="AN267" s="57"/>
      <c r="AO267" s="57"/>
      <c r="AP267" s="57"/>
      <c r="AQ267" s="57"/>
      <c r="AR267" s="57"/>
      <c r="AS267" s="57"/>
      <c r="AT267" s="57"/>
      <c r="AU267" s="57"/>
      <c r="AV267" s="57"/>
      <c r="AW267" s="57"/>
      <c r="AX267" s="57"/>
      <c r="AY267" s="57"/>
      <c r="AZ267" s="57"/>
    </row>
    <row r="268" spans="18:52" x14ac:dyDescent="0.2"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/>
      <c r="AK268" s="57"/>
      <c r="AL268" s="57"/>
      <c r="AM268" s="57"/>
      <c r="AN268" s="57"/>
      <c r="AO268" s="57"/>
      <c r="AP268" s="57"/>
      <c r="AQ268" s="57"/>
      <c r="AR268" s="57"/>
      <c r="AS268" s="57"/>
      <c r="AT268" s="57"/>
      <c r="AU268" s="57"/>
      <c r="AV268" s="57"/>
      <c r="AW268" s="57"/>
      <c r="AX268" s="57"/>
      <c r="AY268" s="57"/>
      <c r="AZ268" s="57"/>
    </row>
    <row r="269" spans="18:52" x14ac:dyDescent="0.2"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57"/>
      <c r="AK269" s="57"/>
      <c r="AL269" s="57"/>
      <c r="AM269" s="57"/>
      <c r="AN269" s="57"/>
      <c r="AO269" s="57"/>
      <c r="AP269" s="57"/>
      <c r="AQ269" s="57"/>
      <c r="AR269" s="57"/>
      <c r="AS269" s="57"/>
      <c r="AT269" s="57"/>
      <c r="AU269" s="57"/>
      <c r="AV269" s="57"/>
      <c r="AW269" s="57"/>
      <c r="AX269" s="57"/>
      <c r="AY269" s="57"/>
      <c r="AZ269" s="57"/>
    </row>
    <row r="270" spans="18:52" x14ac:dyDescent="0.2"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  <c r="AN270" s="57"/>
      <c r="AO270" s="57"/>
      <c r="AP270" s="57"/>
      <c r="AQ270" s="57"/>
      <c r="AR270" s="57"/>
      <c r="AS270" s="57"/>
      <c r="AT270" s="57"/>
      <c r="AU270" s="57"/>
      <c r="AV270" s="57"/>
      <c r="AW270" s="57"/>
      <c r="AX270" s="57"/>
      <c r="AY270" s="57"/>
      <c r="AZ270" s="57"/>
    </row>
    <row r="271" spans="18:52" x14ac:dyDescent="0.2"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  <c r="AN271" s="57"/>
      <c r="AO271" s="57"/>
      <c r="AP271" s="57"/>
      <c r="AQ271" s="57"/>
      <c r="AR271" s="57"/>
      <c r="AS271" s="57"/>
      <c r="AT271" s="57"/>
      <c r="AU271" s="57"/>
      <c r="AV271" s="57"/>
      <c r="AW271" s="57"/>
      <c r="AX271" s="57"/>
      <c r="AY271" s="57"/>
      <c r="AZ271" s="57"/>
    </row>
    <row r="272" spans="18:52" x14ac:dyDescent="0.2"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  <c r="AL272" s="57"/>
      <c r="AM272" s="57"/>
      <c r="AN272" s="57"/>
      <c r="AO272" s="57"/>
      <c r="AP272" s="57"/>
      <c r="AQ272" s="57"/>
      <c r="AR272" s="57"/>
      <c r="AS272" s="57"/>
      <c r="AT272" s="57"/>
      <c r="AU272" s="57"/>
      <c r="AV272" s="57"/>
      <c r="AW272" s="57"/>
      <c r="AX272" s="57"/>
      <c r="AY272" s="57"/>
      <c r="AZ272" s="57"/>
    </row>
    <row r="273" spans="18:52" x14ac:dyDescent="0.2"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/>
      <c r="AK273" s="57"/>
      <c r="AL273" s="57"/>
      <c r="AM273" s="57"/>
      <c r="AN273" s="57"/>
      <c r="AO273" s="57"/>
      <c r="AP273" s="57"/>
      <c r="AQ273" s="57"/>
      <c r="AR273" s="57"/>
      <c r="AS273" s="57"/>
      <c r="AT273" s="57"/>
      <c r="AU273" s="57"/>
      <c r="AV273" s="57"/>
      <c r="AW273" s="57"/>
      <c r="AX273" s="57"/>
      <c r="AY273" s="57"/>
      <c r="AZ273" s="57"/>
    </row>
    <row r="274" spans="18:52" x14ac:dyDescent="0.2"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/>
      <c r="AK274" s="57"/>
      <c r="AL274" s="57"/>
      <c r="AM274" s="57"/>
      <c r="AN274" s="57"/>
      <c r="AO274" s="57"/>
      <c r="AP274" s="57"/>
      <c r="AQ274" s="57"/>
      <c r="AR274" s="57"/>
      <c r="AS274" s="57"/>
      <c r="AT274" s="57"/>
      <c r="AU274" s="57"/>
      <c r="AV274" s="57"/>
      <c r="AW274" s="57"/>
      <c r="AX274" s="57"/>
      <c r="AY274" s="57"/>
      <c r="AZ274" s="57"/>
    </row>
    <row r="275" spans="18:52" x14ac:dyDescent="0.2"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57"/>
      <c r="AK275" s="57"/>
      <c r="AL275" s="57"/>
      <c r="AM275" s="57"/>
      <c r="AN275" s="57"/>
      <c r="AO275" s="57"/>
      <c r="AP275" s="57"/>
      <c r="AQ275" s="57"/>
      <c r="AR275" s="57"/>
      <c r="AS275" s="57"/>
      <c r="AT275" s="57"/>
      <c r="AU275" s="57"/>
      <c r="AV275" s="57"/>
      <c r="AW275" s="57"/>
      <c r="AX275" s="57"/>
      <c r="AY275" s="57"/>
      <c r="AZ275" s="57"/>
    </row>
    <row r="276" spans="18:52" x14ac:dyDescent="0.2"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/>
      <c r="AK276" s="57"/>
      <c r="AL276" s="57"/>
      <c r="AM276" s="57"/>
      <c r="AN276" s="57"/>
      <c r="AO276" s="57"/>
      <c r="AP276" s="57"/>
      <c r="AQ276" s="57"/>
      <c r="AR276" s="57"/>
      <c r="AS276" s="57"/>
      <c r="AT276" s="57"/>
      <c r="AU276" s="57"/>
      <c r="AV276" s="57"/>
      <c r="AW276" s="57"/>
      <c r="AX276" s="57"/>
      <c r="AY276" s="57"/>
      <c r="AZ276" s="57"/>
    </row>
    <row r="277" spans="18:52" x14ac:dyDescent="0.2"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7"/>
      <c r="AN277" s="57"/>
      <c r="AO277" s="57"/>
      <c r="AP277" s="57"/>
      <c r="AQ277" s="57"/>
      <c r="AR277" s="57"/>
      <c r="AS277" s="57"/>
      <c r="AT277" s="57"/>
      <c r="AU277" s="57"/>
      <c r="AV277" s="57"/>
      <c r="AW277" s="57"/>
      <c r="AX277" s="57"/>
      <c r="AY277" s="57"/>
      <c r="AZ277" s="57"/>
    </row>
    <row r="278" spans="18:52" x14ac:dyDescent="0.2"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  <c r="AL278" s="57"/>
      <c r="AM278" s="57"/>
      <c r="AN278" s="57"/>
      <c r="AO278" s="57"/>
      <c r="AP278" s="57"/>
      <c r="AQ278" s="57"/>
      <c r="AR278" s="57"/>
      <c r="AS278" s="57"/>
      <c r="AT278" s="57"/>
      <c r="AU278" s="57"/>
      <c r="AV278" s="57"/>
      <c r="AW278" s="57"/>
      <c r="AX278" s="57"/>
      <c r="AY278" s="57"/>
      <c r="AZ278" s="57"/>
    </row>
    <row r="279" spans="18:52" x14ac:dyDescent="0.2"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  <c r="AN279" s="57"/>
      <c r="AO279" s="57"/>
      <c r="AP279" s="57"/>
      <c r="AQ279" s="57"/>
      <c r="AR279" s="57"/>
      <c r="AS279" s="57"/>
      <c r="AT279" s="57"/>
      <c r="AU279" s="57"/>
      <c r="AV279" s="57"/>
      <c r="AW279" s="57"/>
      <c r="AX279" s="57"/>
      <c r="AY279" s="57"/>
      <c r="AZ279" s="57"/>
    </row>
    <row r="280" spans="18:52" x14ac:dyDescent="0.2"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/>
      <c r="AK280" s="57"/>
      <c r="AL280" s="57"/>
      <c r="AM280" s="57"/>
      <c r="AN280" s="57"/>
      <c r="AO280" s="57"/>
      <c r="AP280" s="57"/>
      <c r="AQ280" s="57"/>
      <c r="AR280" s="57"/>
      <c r="AS280" s="57"/>
      <c r="AT280" s="57"/>
      <c r="AU280" s="57"/>
      <c r="AV280" s="57"/>
      <c r="AW280" s="57"/>
      <c r="AX280" s="57"/>
      <c r="AY280" s="57"/>
      <c r="AZ280" s="57"/>
    </row>
    <row r="281" spans="18:52" x14ac:dyDescent="0.2"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  <c r="AL281" s="57"/>
      <c r="AM281" s="57"/>
      <c r="AN281" s="57"/>
      <c r="AO281" s="57"/>
      <c r="AP281" s="57"/>
      <c r="AQ281" s="57"/>
      <c r="AR281" s="57"/>
      <c r="AS281" s="57"/>
      <c r="AT281" s="57"/>
      <c r="AU281" s="57"/>
      <c r="AV281" s="57"/>
      <c r="AW281" s="57"/>
      <c r="AX281" s="57"/>
      <c r="AY281" s="57"/>
      <c r="AZ281" s="57"/>
    </row>
    <row r="282" spans="18:52" x14ac:dyDescent="0.2"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57"/>
      <c r="AK282" s="57"/>
      <c r="AL282" s="57"/>
      <c r="AM282" s="57"/>
      <c r="AN282" s="57"/>
      <c r="AO282" s="57"/>
      <c r="AP282" s="57"/>
      <c r="AQ282" s="57"/>
      <c r="AR282" s="57"/>
      <c r="AS282" s="57"/>
      <c r="AT282" s="57"/>
      <c r="AU282" s="57"/>
      <c r="AV282" s="57"/>
      <c r="AW282" s="57"/>
      <c r="AX282" s="57"/>
      <c r="AY282" s="57"/>
      <c r="AZ282" s="57"/>
    </row>
    <row r="283" spans="18:52" x14ac:dyDescent="0.2"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57"/>
      <c r="AK283" s="57"/>
      <c r="AL283" s="57"/>
      <c r="AM283" s="57"/>
      <c r="AN283" s="57"/>
      <c r="AO283" s="57"/>
      <c r="AP283" s="57"/>
      <c r="AQ283" s="57"/>
      <c r="AR283" s="57"/>
      <c r="AS283" s="57"/>
      <c r="AT283" s="57"/>
      <c r="AU283" s="57"/>
      <c r="AV283" s="57"/>
      <c r="AW283" s="57"/>
      <c r="AX283" s="57"/>
      <c r="AY283" s="57"/>
      <c r="AZ283" s="57"/>
    </row>
    <row r="284" spans="18:52" x14ac:dyDescent="0.2"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57"/>
      <c r="AK284" s="57"/>
      <c r="AL284" s="57"/>
      <c r="AM284" s="57"/>
      <c r="AN284" s="57"/>
      <c r="AO284" s="57"/>
      <c r="AP284" s="57"/>
      <c r="AQ284" s="57"/>
      <c r="AR284" s="57"/>
      <c r="AS284" s="57"/>
      <c r="AT284" s="57"/>
      <c r="AU284" s="57"/>
      <c r="AV284" s="57"/>
      <c r="AW284" s="57"/>
      <c r="AX284" s="57"/>
      <c r="AY284" s="57"/>
      <c r="AZ284" s="57"/>
    </row>
    <row r="285" spans="18:52" x14ac:dyDescent="0.2"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  <c r="AM285" s="57"/>
      <c r="AN285" s="57"/>
      <c r="AO285" s="57"/>
      <c r="AP285" s="57"/>
      <c r="AQ285" s="57"/>
      <c r="AR285" s="57"/>
      <c r="AS285" s="57"/>
      <c r="AT285" s="57"/>
      <c r="AU285" s="57"/>
      <c r="AV285" s="57"/>
      <c r="AW285" s="57"/>
      <c r="AX285" s="57"/>
      <c r="AY285" s="57"/>
      <c r="AZ285" s="57"/>
    </row>
    <row r="286" spans="18:52" x14ac:dyDescent="0.2"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/>
      <c r="AK286" s="57"/>
      <c r="AL286" s="57"/>
      <c r="AM286" s="57"/>
      <c r="AN286" s="57"/>
      <c r="AO286" s="57"/>
      <c r="AP286" s="57"/>
      <c r="AQ286" s="57"/>
      <c r="AR286" s="57"/>
      <c r="AS286" s="57"/>
      <c r="AT286" s="57"/>
      <c r="AU286" s="57"/>
      <c r="AV286" s="57"/>
      <c r="AW286" s="57"/>
      <c r="AX286" s="57"/>
      <c r="AY286" s="57"/>
      <c r="AZ286" s="57"/>
    </row>
    <row r="287" spans="18:52" x14ac:dyDescent="0.2"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  <c r="AJ287" s="57"/>
      <c r="AK287" s="57"/>
      <c r="AL287" s="57"/>
      <c r="AM287" s="57"/>
      <c r="AN287" s="57"/>
      <c r="AO287" s="57"/>
      <c r="AP287" s="57"/>
      <c r="AQ287" s="57"/>
      <c r="AR287" s="57"/>
      <c r="AS287" s="57"/>
      <c r="AT287" s="57"/>
      <c r="AU287" s="57"/>
      <c r="AV287" s="57"/>
      <c r="AW287" s="57"/>
      <c r="AX287" s="57"/>
      <c r="AY287" s="57"/>
      <c r="AZ287" s="57"/>
    </row>
    <row r="288" spans="18:52" x14ac:dyDescent="0.2"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57"/>
      <c r="AK288" s="57"/>
      <c r="AL288" s="57"/>
      <c r="AM288" s="57"/>
      <c r="AN288" s="57"/>
      <c r="AO288" s="57"/>
      <c r="AP288" s="57"/>
      <c r="AQ288" s="57"/>
      <c r="AR288" s="57"/>
      <c r="AS288" s="57"/>
      <c r="AT288" s="57"/>
      <c r="AU288" s="57"/>
      <c r="AV288" s="57"/>
      <c r="AW288" s="57"/>
      <c r="AX288" s="57"/>
      <c r="AY288" s="57"/>
      <c r="AZ288" s="57"/>
    </row>
  </sheetData>
  <sheetProtection password="DC49" sheet="1" objects="1" scenarios="1"/>
  <dataConsolidate/>
  <phoneticPr fontId="5" type="noConversion"/>
  <hyperlinks>
    <hyperlink ref="A78" r:id="rId1"/>
    <hyperlink ref="E78" r:id="rId2"/>
    <hyperlink ref="I78" r:id="rId3"/>
  </hyperlinks>
  <pageMargins left="0.78740157499999996" right="0.78740157499999996" top="0.984251969" bottom="0.984251969" header="0.4921259845" footer="0.4921259845"/>
  <pageSetup paperSize="9" orientation="portrait" r:id="rId4"/>
  <headerFooter alignWithMargins="0">
    <oddHeader>&amp;A</oddHeader>
    <oddFooter>Seite &amp;P</oddFooter>
  </headerFooter>
  <drawing r:id="rId5"/>
  <legacyDrawing r:id="rId6"/>
  <oleObjects>
    <mc:AlternateContent xmlns:mc="http://schemas.openxmlformats.org/markup-compatibility/2006">
      <mc:Choice Requires="x14">
        <oleObject progId="AutoCAD.Drawing.14" shapeId="1456" r:id="rId7">
          <objectPr defaultSize="0" autoPict="0" r:id="rId8">
            <anchor moveWithCells="1">
              <from>
                <xdr:col>7</xdr:col>
                <xdr:colOff>609600</xdr:colOff>
                <xdr:row>26</xdr:row>
                <xdr:rowOff>180975</xdr:rowOff>
              </from>
              <to>
                <xdr:col>9</xdr:col>
                <xdr:colOff>485775</xdr:colOff>
                <xdr:row>32</xdr:row>
                <xdr:rowOff>180975</xdr:rowOff>
              </to>
            </anchor>
          </objectPr>
        </oleObject>
      </mc:Choice>
      <mc:Fallback>
        <oleObject progId="AutoCAD.Drawing.14" shapeId="1456" r:id="rId7"/>
      </mc:Fallback>
    </mc:AlternateContent>
    <mc:AlternateContent xmlns:mc="http://schemas.openxmlformats.org/markup-compatibility/2006">
      <mc:Choice Requires="x14">
        <oleObject progId="AutoCAD.Drawing.14" shapeId="1457" r:id="rId9">
          <objectPr defaultSize="0" autoPict="0" r:id="rId10">
            <anchor moveWithCells="1">
              <from>
                <xdr:col>9</xdr:col>
                <xdr:colOff>542925</xdr:colOff>
                <xdr:row>26</xdr:row>
                <xdr:rowOff>171450</xdr:rowOff>
              </from>
              <to>
                <xdr:col>13</xdr:col>
                <xdr:colOff>276225</xdr:colOff>
                <xdr:row>32</xdr:row>
                <xdr:rowOff>171450</xdr:rowOff>
              </to>
            </anchor>
          </objectPr>
        </oleObject>
      </mc:Choice>
      <mc:Fallback>
        <oleObject progId="AutoCAD.Drawing.14" shapeId="1457" r:id="rId9"/>
      </mc:Fallback>
    </mc:AlternateContent>
    <mc:AlternateContent xmlns:mc="http://schemas.openxmlformats.org/markup-compatibility/2006">
      <mc:Choice Requires="x14">
        <oleObject progId="AutoCAD.Drawing.14" shapeId="1458" r:id="rId11">
          <objectPr defaultSize="0" autoPict="0" r:id="rId12">
            <anchor moveWithCells="1">
              <from>
                <xdr:col>13</xdr:col>
                <xdr:colOff>314325</xdr:colOff>
                <xdr:row>26</xdr:row>
                <xdr:rowOff>161925</xdr:rowOff>
              </from>
              <to>
                <xdr:col>16</xdr:col>
                <xdr:colOff>533400</xdr:colOff>
                <xdr:row>32</xdr:row>
                <xdr:rowOff>171450</xdr:rowOff>
              </to>
            </anchor>
          </objectPr>
        </oleObject>
      </mc:Choice>
      <mc:Fallback>
        <oleObject progId="AutoCAD.Drawing.14" shapeId="1458" r:id="rId11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3" r:id="rId13" name="Drop Down 69">
              <controlPr defaultSize="0" autoLine="0" autoPict="0">
                <anchor>
                  <from>
                    <xdr:col>0</xdr:col>
                    <xdr:colOff>1828800</xdr:colOff>
                    <xdr:row>20</xdr:row>
                    <xdr:rowOff>133350</xdr:rowOff>
                  </from>
                  <to>
                    <xdr:col>2</xdr:col>
                    <xdr:colOff>838200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4" name="Spinner 73">
              <controlPr defaultSize="0" autoPict="0">
                <anchor moveWithCells="1" sizeWithCells="1">
                  <from>
                    <xdr:col>9</xdr:col>
                    <xdr:colOff>0</xdr:colOff>
                    <xdr:row>36</xdr:row>
                    <xdr:rowOff>114300</xdr:rowOff>
                  </from>
                  <to>
                    <xdr:col>9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5" name="Spinner 74">
              <controlPr defaultSize="0" autoPict="0">
                <anchor moveWithCells="1" sizeWithCells="1">
                  <from>
                    <xdr:col>8</xdr:col>
                    <xdr:colOff>1647825</xdr:colOff>
                    <xdr:row>50</xdr:row>
                    <xdr:rowOff>0</xdr:rowOff>
                  </from>
                  <to>
                    <xdr:col>9</xdr:col>
                    <xdr:colOff>171450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6" name="Spinner 76">
              <controlPr defaultSize="0" autoPict="0">
                <anchor moveWithCells="1" sizeWithCells="1">
                  <from>
                    <xdr:col>9</xdr:col>
                    <xdr:colOff>171450</xdr:colOff>
                    <xdr:row>50</xdr:row>
                    <xdr:rowOff>0</xdr:rowOff>
                  </from>
                  <to>
                    <xdr:col>9</xdr:col>
                    <xdr:colOff>352425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7" name="Spinner 77">
              <controlPr defaultSize="0" autoPict="0">
                <anchor moveWithCells="1" sizeWithCells="1">
                  <from>
                    <xdr:col>9</xdr:col>
                    <xdr:colOff>0</xdr:colOff>
                    <xdr:row>46</xdr:row>
                    <xdr:rowOff>0</xdr:rowOff>
                  </from>
                  <to>
                    <xdr:col>9</xdr:col>
                    <xdr:colOff>133350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8" name="Spinner 78">
              <controlPr defaultSize="0" autoPict="0">
                <anchor moveWithCells="1" sizeWithCells="1">
                  <from>
                    <xdr:col>9</xdr:col>
                    <xdr:colOff>0</xdr:colOff>
                    <xdr:row>47</xdr:row>
                    <xdr:rowOff>0</xdr:rowOff>
                  </from>
                  <to>
                    <xdr:col>9</xdr:col>
                    <xdr:colOff>133350</xdr:colOff>
                    <xdr:row>48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T50"/>
  <sheetViews>
    <sheetView workbookViewId="0">
      <selection activeCell="B4" sqref="B4"/>
    </sheetView>
  </sheetViews>
  <sheetFormatPr baseColWidth="10" defaultRowHeight="12.75" x14ac:dyDescent="0.2"/>
  <cols>
    <col min="1" max="16384" width="11.42578125" style="2"/>
  </cols>
  <sheetData>
    <row r="1" spans="1:20" x14ac:dyDescent="0.2">
      <c r="A1" s="5" t="s">
        <v>27</v>
      </c>
      <c r="B1" s="5" t="s">
        <v>28</v>
      </c>
      <c r="C1" s="5" t="s">
        <v>29</v>
      </c>
      <c r="D1" s="5" t="s">
        <v>30</v>
      </c>
      <c r="E1" s="5" t="s">
        <v>31</v>
      </c>
      <c r="F1" s="5" t="s">
        <v>32</v>
      </c>
      <c r="G1" s="5" t="s">
        <v>33</v>
      </c>
      <c r="H1" s="5"/>
      <c r="I1" s="5" t="s">
        <v>35</v>
      </c>
      <c r="J1" s="5" t="s">
        <v>36</v>
      </c>
      <c r="K1" s="5" t="s">
        <v>37</v>
      </c>
      <c r="L1" s="5" t="s">
        <v>38</v>
      </c>
      <c r="M1" s="5"/>
      <c r="N1" s="5"/>
      <c r="O1" s="5"/>
      <c r="P1" s="4"/>
      <c r="Q1" s="4"/>
      <c r="R1" s="4"/>
      <c r="S1" s="4"/>
      <c r="T1" s="4"/>
    </row>
    <row r="2" spans="1:20" x14ac:dyDescent="0.2">
      <c r="A2" s="5">
        <v>1</v>
      </c>
      <c r="B2" s="5">
        <f t="shared" ref="B2:B41" si="0">(8*_M/A2^2-gf_g*_g)/gf_p</f>
        <v>134.19916666666668</v>
      </c>
      <c r="C2" s="5">
        <f t="shared" ref="C2:C41" si="1">(2*_V/A2-gf_g*_g)/gf_p</f>
        <v>22.39916666666667</v>
      </c>
      <c r="D2" s="5">
        <f>IF(B2&lt;C2,B2,C2)</f>
        <v>22.39916666666667</v>
      </c>
      <c r="E2" s="5">
        <f>IF(D2&gt;0,D2,"")</f>
        <v>22.39916666666667</v>
      </c>
      <c r="F2" s="5">
        <f>E2/9.81*1000</f>
        <v>2283.299354400272</v>
      </c>
      <c r="G2" s="5">
        <f>F2*A2</f>
        <v>2283.299354400272</v>
      </c>
      <c r="H2" s="5"/>
      <c r="I2" s="5">
        <f t="shared" ref="I2:I41" si="2">(_M-gf_g*_g*A2^2/8)*4/(gf_p*A2)</f>
        <v>67.099583333333342</v>
      </c>
      <c r="J2" s="5">
        <f t="shared" ref="J2:J41" si="3">(2*_V-gf_g*_g*A2)/gf_p</f>
        <v>22.39916666666667</v>
      </c>
      <c r="K2" s="5">
        <f>IF(I2&lt;J2,I2,J2)</f>
        <v>22.39916666666667</v>
      </c>
      <c r="L2" s="5">
        <f>K2*1000/9.81</f>
        <v>2283.299354400272</v>
      </c>
      <c r="M2" s="5"/>
      <c r="N2" s="5"/>
      <c r="O2" s="5"/>
      <c r="P2" s="4"/>
      <c r="Q2" s="4"/>
      <c r="R2" s="1"/>
      <c r="S2" s="1"/>
      <c r="T2" s="4"/>
    </row>
    <row r="3" spans="1:20" x14ac:dyDescent="0.2">
      <c r="A3" s="5">
        <v>2</v>
      </c>
      <c r="B3" s="5">
        <f t="shared" si="0"/>
        <v>33.499166666666667</v>
      </c>
      <c r="C3" s="5">
        <f t="shared" si="1"/>
        <v>11.165833333333333</v>
      </c>
      <c r="D3" s="5">
        <f t="shared" ref="D3:D41" si="4">IF(B3&lt;C3,B3,C3)</f>
        <v>11.165833333333333</v>
      </c>
      <c r="E3" s="5">
        <f t="shared" ref="E3:E41" si="5">IF(D3&gt;0,D3,"")</f>
        <v>11.165833333333333</v>
      </c>
      <c r="F3" s="5">
        <f t="shared" ref="F3:F41" si="6">E3/9.81*1000</f>
        <v>1138.209310227659</v>
      </c>
      <c r="G3" s="5">
        <f t="shared" ref="G3:G41" si="7">F3*A3</f>
        <v>2276.418620455318</v>
      </c>
      <c r="H3" s="5"/>
      <c r="I3" s="5">
        <f t="shared" si="2"/>
        <v>33.499166666666667</v>
      </c>
      <c r="J3" s="5">
        <f t="shared" si="3"/>
        <v>22.331666666666667</v>
      </c>
      <c r="K3" s="5">
        <f t="shared" ref="K3:K41" si="8">IF(I3&lt;J3,I3,J3)</f>
        <v>22.331666666666667</v>
      </c>
      <c r="L3" s="5">
        <f t="shared" ref="L3:L41" si="9">K3*1000/9.81</f>
        <v>2276.4186204553175</v>
      </c>
      <c r="M3" s="5"/>
      <c r="N3" s="5"/>
      <c r="O3" s="5"/>
      <c r="P3" s="4"/>
      <c r="Q3" s="4"/>
      <c r="R3" s="1"/>
      <c r="S3" s="1"/>
      <c r="T3" s="4"/>
    </row>
    <row r="4" spans="1:20" x14ac:dyDescent="0.2">
      <c r="A4" s="5">
        <v>3</v>
      </c>
      <c r="B4" s="5">
        <f t="shared" si="0"/>
        <v>14.85101851851852</v>
      </c>
      <c r="C4" s="5">
        <f t="shared" si="1"/>
        <v>7.421388888888889</v>
      </c>
      <c r="D4" s="5">
        <f t="shared" si="4"/>
        <v>7.421388888888889</v>
      </c>
      <c r="E4" s="5">
        <f t="shared" si="5"/>
        <v>7.421388888888889</v>
      </c>
      <c r="F4" s="5">
        <f t="shared" si="6"/>
        <v>756.51262883678783</v>
      </c>
      <c r="G4" s="5">
        <f t="shared" si="7"/>
        <v>2269.5378865103635</v>
      </c>
      <c r="H4" s="5"/>
      <c r="I4" s="5">
        <f t="shared" si="2"/>
        <v>22.27652777777778</v>
      </c>
      <c r="J4" s="5">
        <f t="shared" si="3"/>
        <v>22.264166666666668</v>
      </c>
      <c r="K4" s="5">
        <f t="shared" si="8"/>
        <v>22.264166666666668</v>
      </c>
      <c r="L4" s="5">
        <f t="shared" si="9"/>
        <v>2269.5378865103635</v>
      </c>
      <c r="M4" s="5"/>
      <c r="N4" s="5"/>
      <c r="O4" s="5"/>
      <c r="P4" s="4"/>
      <c r="Q4" s="4"/>
      <c r="R4" s="4"/>
      <c r="S4" s="4"/>
      <c r="T4" s="4"/>
    </row>
    <row r="5" spans="1:20" x14ac:dyDescent="0.2">
      <c r="A5" s="5">
        <v>4</v>
      </c>
      <c r="B5" s="5">
        <f t="shared" si="0"/>
        <v>8.3241666666666667</v>
      </c>
      <c r="C5" s="5">
        <f t="shared" si="1"/>
        <v>5.5491666666666672</v>
      </c>
      <c r="D5" s="5">
        <f t="shared" si="4"/>
        <v>5.5491666666666672</v>
      </c>
      <c r="E5" s="5">
        <f t="shared" si="5"/>
        <v>5.5491666666666672</v>
      </c>
      <c r="F5" s="5">
        <f t="shared" si="6"/>
        <v>565.66428814135236</v>
      </c>
      <c r="G5" s="5">
        <f t="shared" si="7"/>
        <v>2262.6571525654094</v>
      </c>
      <c r="H5" s="5"/>
      <c r="I5" s="5">
        <f t="shared" si="2"/>
        <v>16.648333333333333</v>
      </c>
      <c r="J5" s="5">
        <f t="shared" si="3"/>
        <v>22.196666666666669</v>
      </c>
      <c r="K5" s="5">
        <f t="shared" si="8"/>
        <v>16.648333333333333</v>
      </c>
      <c r="L5" s="5">
        <f t="shared" si="9"/>
        <v>1697.0778117567106</v>
      </c>
      <c r="M5" s="5"/>
      <c r="N5" s="5"/>
      <c r="O5" s="5"/>
      <c r="P5" s="4"/>
      <c r="Q5" s="4"/>
      <c r="R5" s="4"/>
      <c r="S5" s="4"/>
      <c r="T5" s="4"/>
    </row>
    <row r="6" spans="1:20" x14ac:dyDescent="0.2">
      <c r="A6" s="5">
        <v>5</v>
      </c>
      <c r="B6" s="5">
        <f t="shared" si="0"/>
        <v>5.3031666666666668</v>
      </c>
      <c r="C6" s="5">
        <f t="shared" si="1"/>
        <v>4.4258333333333333</v>
      </c>
      <c r="D6" s="5">
        <f t="shared" si="4"/>
        <v>4.4258333333333333</v>
      </c>
      <c r="E6" s="5">
        <f t="shared" si="5"/>
        <v>4.4258333333333333</v>
      </c>
      <c r="F6" s="5">
        <f t="shared" si="6"/>
        <v>451.15528372409102</v>
      </c>
      <c r="G6" s="5">
        <f t="shared" si="7"/>
        <v>2255.7764186204549</v>
      </c>
      <c r="H6" s="5"/>
      <c r="I6" s="5">
        <f t="shared" si="2"/>
        <v>13.257916666666667</v>
      </c>
      <c r="J6" s="5">
        <f t="shared" si="3"/>
        <v>22.129166666666666</v>
      </c>
      <c r="K6" s="5">
        <f t="shared" si="8"/>
        <v>13.257916666666667</v>
      </c>
      <c r="L6" s="5">
        <f t="shared" si="9"/>
        <v>1351.4695888549097</v>
      </c>
      <c r="M6" s="5"/>
      <c r="N6" s="5"/>
      <c r="O6" s="5"/>
      <c r="P6" s="4"/>
      <c r="Q6" s="4"/>
      <c r="R6" s="4"/>
      <c r="S6" s="4"/>
      <c r="T6" s="4"/>
    </row>
    <row r="7" spans="1:20" x14ac:dyDescent="0.2">
      <c r="A7" s="5">
        <v>6</v>
      </c>
      <c r="B7" s="5">
        <f t="shared" si="0"/>
        <v>3.66212962962963</v>
      </c>
      <c r="C7" s="5">
        <f t="shared" si="1"/>
        <v>3.6769444444444446</v>
      </c>
      <c r="D7" s="5">
        <f t="shared" si="4"/>
        <v>3.66212962962963</v>
      </c>
      <c r="E7" s="5">
        <f t="shared" si="5"/>
        <v>3.66212962962963</v>
      </c>
      <c r="F7" s="5">
        <f t="shared" si="6"/>
        <v>373.3057726431835</v>
      </c>
      <c r="G7" s="5">
        <f t="shared" si="7"/>
        <v>2239.8346358591011</v>
      </c>
      <c r="H7" s="5"/>
      <c r="I7" s="5">
        <f t="shared" si="2"/>
        <v>10.986388888888889</v>
      </c>
      <c r="J7" s="5">
        <f t="shared" si="3"/>
        <v>22.061666666666667</v>
      </c>
      <c r="K7" s="5">
        <f t="shared" si="8"/>
        <v>10.986388888888889</v>
      </c>
      <c r="L7" s="5">
        <f t="shared" si="9"/>
        <v>1119.9173179295503</v>
      </c>
      <c r="M7" s="5"/>
      <c r="N7" s="5"/>
      <c r="O7" s="5"/>
      <c r="P7" s="4"/>
      <c r="Q7" s="4"/>
      <c r="R7" s="4"/>
      <c r="S7" s="4"/>
      <c r="T7" s="4"/>
    </row>
    <row r="8" spans="1:20" x14ac:dyDescent="0.2">
      <c r="A8" s="5">
        <v>7</v>
      </c>
      <c r="B8" s="5">
        <f t="shared" si="0"/>
        <v>2.6726360544217687</v>
      </c>
      <c r="C8" s="5">
        <f t="shared" si="1"/>
        <v>3.1420238095238098</v>
      </c>
      <c r="D8" s="5">
        <f t="shared" si="4"/>
        <v>2.6726360544217687</v>
      </c>
      <c r="E8" s="5">
        <f t="shared" si="5"/>
        <v>2.6726360544217687</v>
      </c>
      <c r="F8" s="5">
        <f t="shared" si="6"/>
        <v>272.43996477286117</v>
      </c>
      <c r="G8" s="5">
        <f t="shared" si="7"/>
        <v>1907.0797534100282</v>
      </c>
      <c r="H8" s="5"/>
      <c r="I8" s="5">
        <f t="shared" si="2"/>
        <v>9.3542261904761901</v>
      </c>
      <c r="J8" s="5">
        <f t="shared" si="3"/>
        <v>21.994166666666668</v>
      </c>
      <c r="K8" s="5">
        <f t="shared" si="8"/>
        <v>9.3542261904761901</v>
      </c>
      <c r="L8" s="5">
        <f t="shared" si="9"/>
        <v>953.53987670501431</v>
      </c>
      <c r="M8" s="5"/>
      <c r="N8" s="5"/>
      <c r="O8" s="5"/>
      <c r="P8" s="4"/>
      <c r="Q8" s="4"/>
      <c r="R8" s="4"/>
      <c r="S8" s="4"/>
      <c r="T8" s="4"/>
    </row>
    <row r="9" spans="1:20" x14ac:dyDescent="0.2">
      <c r="A9" s="5">
        <v>8</v>
      </c>
      <c r="B9" s="5">
        <f t="shared" si="0"/>
        <v>2.030416666666667</v>
      </c>
      <c r="C9" s="5">
        <f t="shared" si="1"/>
        <v>2.7408333333333332</v>
      </c>
      <c r="D9" s="5">
        <f t="shared" si="4"/>
        <v>2.030416666666667</v>
      </c>
      <c r="E9" s="5">
        <f t="shared" si="5"/>
        <v>2.030416666666667</v>
      </c>
      <c r="F9" s="5">
        <f t="shared" si="6"/>
        <v>206.97417601087329</v>
      </c>
      <c r="G9" s="5">
        <f t="shared" si="7"/>
        <v>1655.7934080869863</v>
      </c>
      <c r="H9" s="5"/>
      <c r="I9" s="5">
        <f t="shared" si="2"/>
        <v>8.1216666666666679</v>
      </c>
      <c r="J9" s="5">
        <f t="shared" si="3"/>
        <v>21.926666666666666</v>
      </c>
      <c r="K9" s="5">
        <f t="shared" si="8"/>
        <v>8.1216666666666679</v>
      </c>
      <c r="L9" s="5">
        <f t="shared" si="9"/>
        <v>827.89670404349306</v>
      </c>
      <c r="M9" s="5"/>
      <c r="N9" s="5"/>
      <c r="O9" s="5"/>
      <c r="P9" s="4"/>
      <c r="Q9" s="4"/>
      <c r="R9" s="4"/>
      <c r="S9" s="4"/>
      <c r="T9" s="4"/>
    </row>
    <row r="10" spans="1:20" x14ac:dyDescent="0.2">
      <c r="A10" s="5">
        <v>9</v>
      </c>
      <c r="B10" s="5">
        <f t="shared" si="0"/>
        <v>1.5901131687242798</v>
      </c>
      <c r="C10" s="5">
        <f t="shared" si="1"/>
        <v>2.4287962962962966</v>
      </c>
      <c r="D10" s="5">
        <f t="shared" si="4"/>
        <v>1.5901131687242798</v>
      </c>
      <c r="E10" s="5">
        <f t="shared" si="5"/>
        <v>1.5901131687242798</v>
      </c>
      <c r="F10" s="5">
        <f t="shared" si="6"/>
        <v>162.09104676088478</v>
      </c>
      <c r="G10" s="5">
        <f t="shared" si="7"/>
        <v>1458.8194208479631</v>
      </c>
      <c r="H10" s="5"/>
      <c r="I10" s="5">
        <f t="shared" si="2"/>
        <v>7.1555092592592597</v>
      </c>
      <c r="J10" s="5">
        <f t="shared" si="3"/>
        <v>21.859166666666667</v>
      </c>
      <c r="K10" s="5">
        <f t="shared" si="8"/>
        <v>7.1555092592592597</v>
      </c>
      <c r="L10" s="5">
        <f t="shared" si="9"/>
        <v>729.40971042398166</v>
      </c>
      <c r="M10" s="5"/>
      <c r="N10" s="5"/>
      <c r="O10" s="5"/>
      <c r="P10" s="4"/>
      <c r="Q10" s="4"/>
      <c r="R10" s="4"/>
      <c r="S10" s="4"/>
      <c r="T10" s="4"/>
    </row>
    <row r="11" spans="1:20" x14ac:dyDescent="0.2">
      <c r="A11" s="5">
        <v>10</v>
      </c>
      <c r="B11" s="5">
        <f t="shared" si="0"/>
        <v>1.2751666666666668</v>
      </c>
      <c r="C11" s="5">
        <f t="shared" si="1"/>
        <v>2.1791666666666667</v>
      </c>
      <c r="D11" s="5">
        <f t="shared" si="4"/>
        <v>1.2751666666666668</v>
      </c>
      <c r="E11" s="5">
        <f t="shared" si="5"/>
        <v>1.2751666666666668</v>
      </c>
      <c r="F11" s="5">
        <f t="shared" si="6"/>
        <v>129.9864084267754</v>
      </c>
      <c r="G11" s="5">
        <f t="shared" si="7"/>
        <v>1299.8640842677539</v>
      </c>
      <c r="H11" s="5"/>
      <c r="I11" s="5">
        <f t="shared" si="2"/>
        <v>6.3758333333333335</v>
      </c>
      <c r="J11" s="5">
        <f t="shared" si="3"/>
        <v>21.791666666666668</v>
      </c>
      <c r="K11" s="5">
        <f t="shared" si="8"/>
        <v>6.3758333333333335</v>
      </c>
      <c r="L11" s="5">
        <f t="shared" si="9"/>
        <v>649.93204213387696</v>
      </c>
      <c r="M11" s="5"/>
      <c r="N11" s="5"/>
      <c r="O11" s="5"/>
      <c r="P11" s="4"/>
      <c r="Q11" s="4"/>
      <c r="R11" s="4"/>
      <c r="S11" s="4"/>
      <c r="T11" s="4"/>
    </row>
    <row r="12" spans="1:20" x14ac:dyDescent="0.2">
      <c r="A12" s="5">
        <v>11</v>
      </c>
      <c r="B12" s="5">
        <f t="shared" si="0"/>
        <v>1.042141873278237</v>
      </c>
      <c r="C12" s="5">
        <f t="shared" si="1"/>
        <v>1.9749242424242428</v>
      </c>
      <c r="D12" s="5">
        <f t="shared" si="4"/>
        <v>1.042141873278237</v>
      </c>
      <c r="E12" s="5">
        <f t="shared" si="5"/>
        <v>1.042141873278237</v>
      </c>
      <c r="F12" s="5">
        <f t="shared" si="6"/>
        <v>106.23260685812814</v>
      </c>
      <c r="G12" s="5">
        <f t="shared" si="7"/>
        <v>1168.5586754394094</v>
      </c>
      <c r="H12" s="5"/>
      <c r="I12" s="5">
        <f t="shared" si="2"/>
        <v>5.7317803030303036</v>
      </c>
      <c r="J12" s="5">
        <f t="shared" si="3"/>
        <v>21.724166666666665</v>
      </c>
      <c r="K12" s="5">
        <f t="shared" si="8"/>
        <v>5.7317803030303036</v>
      </c>
      <c r="L12" s="5">
        <f t="shared" si="9"/>
        <v>584.2793377197047</v>
      </c>
      <c r="M12" s="5"/>
      <c r="N12" s="5"/>
      <c r="O12" s="5"/>
      <c r="P12" s="4"/>
      <c r="Q12" s="4"/>
      <c r="R12" s="4"/>
      <c r="S12" s="4"/>
      <c r="T12" s="4"/>
    </row>
    <row r="13" spans="1:20" x14ac:dyDescent="0.2">
      <c r="A13" s="5">
        <v>12</v>
      </c>
      <c r="B13" s="5">
        <f t="shared" si="0"/>
        <v>0.86490740740740746</v>
      </c>
      <c r="C13" s="5">
        <f t="shared" si="1"/>
        <v>1.8047222222222226</v>
      </c>
      <c r="D13" s="5">
        <f t="shared" si="4"/>
        <v>0.86490740740740746</v>
      </c>
      <c r="E13" s="5">
        <f t="shared" si="5"/>
        <v>0.86490740740740746</v>
      </c>
      <c r="F13" s="5">
        <f t="shared" si="6"/>
        <v>88.165892702080271</v>
      </c>
      <c r="G13" s="5">
        <f t="shared" si="7"/>
        <v>1057.9907124249632</v>
      </c>
      <c r="H13" s="5"/>
      <c r="I13" s="5">
        <f t="shared" si="2"/>
        <v>5.1894444444444439</v>
      </c>
      <c r="J13" s="5">
        <f t="shared" si="3"/>
        <v>21.656666666666666</v>
      </c>
      <c r="K13" s="5">
        <f t="shared" si="8"/>
        <v>5.1894444444444439</v>
      </c>
      <c r="L13" s="5">
        <f t="shared" si="9"/>
        <v>528.99535621248151</v>
      </c>
      <c r="M13" s="5"/>
      <c r="N13" s="5"/>
      <c r="O13" s="5"/>
      <c r="P13" s="4"/>
      <c r="Q13" s="4"/>
      <c r="R13" s="4"/>
      <c r="S13" s="4"/>
      <c r="T13" s="4"/>
    </row>
    <row r="14" spans="1:20" x14ac:dyDescent="0.2">
      <c r="A14" s="5">
        <v>13</v>
      </c>
      <c r="B14" s="5">
        <f t="shared" si="0"/>
        <v>0.72697731755424055</v>
      </c>
      <c r="C14" s="5">
        <f t="shared" si="1"/>
        <v>1.6607051282051284</v>
      </c>
      <c r="D14" s="5">
        <f t="shared" si="4"/>
        <v>0.72697731755424055</v>
      </c>
      <c r="E14" s="5">
        <f t="shared" si="5"/>
        <v>0.72697731755424055</v>
      </c>
      <c r="F14" s="5">
        <f t="shared" si="6"/>
        <v>74.105740831217176</v>
      </c>
      <c r="G14" s="5">
        <f t="shared" si="7"/>
        <v>963.37463080582324</v>
      </c>
      <c r="H14" s="5"/>
      <c r="I14" s="5">
        <f t="shared" si="2"/>
        <v>4.7253525641025638</v>
      </c>
      <c r="J14" s="5">
        <f t="shared" si="3"/>
        <v>21.589166666666671</v>
      </c>
      <c r="K14" s="5">
        <f t="shared" si="8"/>
        <v>4.7253525641025638</v>
      </c>
      <c r="L14" s="5">
        <f t="shared" si="9"/>
        <v>481.68731540291162</v>
      </c>
      <c r="M14" s="5"/>
      <c r="N14" s="5"/>
      <c r="O14" s="5"/>
      <c r="P14" s="4"/>
      <c r="Q14" s="4"/>
      <c r="R14" s="4"/>
      <c r="S14" s="4"/>
      <c r="T14" s="4"/>
    </row>
    <row r="15" spans="1:20" x14ac:dyDescent="0.2">
      <c r="A15" s="5">
        <v>14</v>
      </c>
      <c r="B15" s="5">
        <f t="shared" si="0"/>
        <v>0.61753401360544213</v>
      </c>
      <c r="C15" s="5">
        <f t="shared" si="1"/>
        <v>1.5372619047619052</v>
      </c>
      <c r="D15" s="5">
        <f t="shared" si="4"/>
        <v>0.61753401360544213</v>
      </c>
      <c r="E15" s="5">
        <f t="shared" si="5"/>
        <v>0.61753401360544213</v>
      </c>
      <c r="F15" s="5">
        <f t="shared" si="6"/>
        <v>62.949440734499703</v>
      </c>
      <c r="G15" s="5">
        <f t="shared" si="7"/>
        <v>881.29217028299581</v>
      </c>
      <c r="H15" s="5"/>
      <c r="I15" s="5">
        <f t="shared" si="2"/>
        <v>4.3227380952380958</v>
      </c>
      <c r="J15" s="5">
        <f t="shared" si="3"/>
        <v>21.521666666666672</v>
      </c>
      <c r="K15" s="5">
        <f t="shared" si="8"/>
        <v>4.3227380952380958</v>
      </c>
      <c r="L15" s="5">
        <f t="shared" si="9"/>
        <v>440.64608514149796</v>
      </c>
      <c r="M15" s="5"/>
      <c r="N15" s="5"/>
      <c r="O15" s="5"/>
      <c r="P15" s="4"/>
      <c r="Q15" s="4"/>
      <c r="R15" s="4"/>
      <c r="S15" s="4"/>
      <c r="T15" s="4"/>
    </row>
    <row r="16" spans="1:20" x14ac:dyDescent="0.2">
      <c r="A16" s="5">
        <v>15</v>
      </c>
      <c r="B16" s="5">
        <f t="shared" si="0"/>
        <v>0.52924074074074079</v>
      </c>
      <c r="C16" s="5">
        <f t="shared" si="1"/>
        <v>1.4302777777777782</v>
      </c>
      <c r="D16" s="5">
        <f t="shared" si="4"/>
        <v>0.52924074074074079</v>
      </c>
      <c r="E16" s="5">
        <f t="shared" si="5"/>
        <v>0.52924074074074079</v>
      </c>
      <c r="F16" s="5">
        <f t="shared" si="6"/>
        <v>53.949107109147889</v>
      </c>
      <c r="G16" s="5">
        <f t="shared" si="7"/>
        <v>809.2366066372183</v>
      </c>
      <c r="H16" s="5"/>
      <c r="I16" s="5">
        <f t="shared" si="2"/>
        <v>3.9693055555555556</v>
      </c>
      <c r="J16" s="5">
        <f t="shared" si="3"/>
        <v>21.454166666666669</v>
      </c>
      <c r="K16" s="5">
        <f t="shared" si="8"/>
        <v>3.9693055555555556</v>
      </c>
      <c r="L16" s="5">
        <f t="shared" si="9"/>
        <v>404.61830331860909</v>
      </c>
      <c r="M16" s="5"/>
      <c r="N16" s="5"/>
      <c r="O16" s="5"/>
      <c r="P16" s="4"/>
      <c r="Q16" s="4"/>
      <c r="R16" s="4"/>
      <c r="S16" s="4"/>
      <c r="T16" s="4"/>
    </row>
    <row r="17" spans="1:20" x14ac:dyDescent="0.2">
      <c r="A17" s="5">
        <v>16</v>
      </c>
      <c r="B17" s="5">
        <f t="shared" si="0"/>
        <v>0.45697916666666671</v>
      </c>
      <c r="C17" s="5">
        <f t="shared" si="1"/>
        <v>1.3366666666666669</v>
      </c>
      <c r="D17" s="5">
        <f t="shared" si="4"/>
        <v>0.45697916666666671</v>
      </c>
      <c r="E17" s="5">
        <f t="shared" si="5"/>
        <v>0.45697916666666671</v>
      </c>
      <c r="F17" s="5">
        <f t="shared" si="6"/>
        <v>46.582993544002719</v>
      </c>
      <c r="G17" s="5">
        <f t="shared" si="7"/>
        <v>745.3278967040435</v>
      </c>
      <c r="H17" s="5"/>
      <c r="I17" s="5">
        <f t="shared" si="2"/>
        <v>3.6558333333333337</v>
      </c>
      <c r="J17" s="5">
        <f t="shared" si="3"/>
        <v>21.38666666666667</v>
      </c>
      <c r="K17" s="5">
        <f t="shared" si="8"/>
        <v>3.6558333333333337</v>
      </c>
      <c r="L17" s="5">
        <f t="shared" si="9"/>
        <v>372.66394835202181</v>
      </c>
      <c r="M17" s="5"/>
      <c r="N17" s="5"/>
      <c r="O17" s="5"/>
      <c r="P17" s="4"/>
      <c r="Q17" s="4"/>
      <c r="R17" s="4"/>
      <c r="S17" s="4"/>
      <c r="T17" s="4"/>
    </row>
    <row r="18" spans="1:20" x14ac:dyDescent="0.2">
      <c r="A18" s="5">
        <v>17</v>
      </c>
      <c r="B18" s="5">
        <f t="shared" si="0"/>
        <v>0.39709054209919259</v>
      </c>
      <c r="C18" s="5">
        <f t="shared" si="1"/>
        <v>1.2540686274509805</v>
      </c>
      <c r="D18" s="5">
        <f t="shared" si="4"/>
        <v>0.39709054209919259</v>
      </c>
      <c r="E18" s="5">
        <f t="shared" si="5"/>
        <v>0.39709054209919259</v>
      </c>
      <c r="F18" s="5">
        <f t="shared" si="6"/>
        <v>40.478138848031861</v>
      </c>
      <c r="G18" s="5">
        <f t="shared" si="7"/>
        <v>688.12836041654168</v>
      </c>
      <c r="H18" s="5"/>
      <c r="I18" s="5">
        <f t="shared" si="2"/>
        <v>3.3752696078431375</v>
      </c>
      <c r="J18" s="5">
        <f t="shared" si="3"/>
        <v>21.319166666666668</v>
      </c>
      <c r="K18" s="5">
        <f t="shared" si="8"/>
        <v>3.3752696078431375</v>
      </c>
      <c r="L18" s="5">
        <f t="shared" si="9"/>
        <v>344.06418020827084</v>
      </c>
      <c r="M18" s="5"/>
      <c r="N18" s="5"/>
      <c r="O18" s="5"/>
      <c r="P18" s="4"/>
      <c r="Q18" s="4"/>
      <c r="R18" s="4"/>
      <c r="S18" s="4"/>
      <c r="T18" s="4"/>
    </row>
    <row r="19" spans="1:20" x14ac:dyDescent="0.2">
      <c r="A19" s="5">
        <v>18</v>
      </c>
      <c r="B19" s="5">
        <f t="shared" si="0"/>
        <v>0.34690329218106991</v>
      </c>
      <c r="C19" s="5">
        <f t="shared" si="1"/>
        <v>1.1806481481481483</v>
      </c>
      <c r="D19" s="5">
        <f t="shared" si="4"/>
        <v>0.34690329218106991</v>
      </c>
      <c r="E19" s="5">
        <f t="shared" si="5"/>
        <v>0.34690329218106991</v>
      </c>
      <c r="F19" s="5">
        <f t="shared" si="6"/>
        <v>35.362211231505597</v>
      </c>
      <c r="G19" s="5">
        <f t="shared" si="7"/>
        <v>636.51980216710081</v>
      </c>
      <c r="H19" s="5"/>
      <c r="I19" s="5">
        <f t="shared" si="2"/>
        <v>3.1221296296296295</v>
      </c>
      <c r="J19" s="5">
        <f t="shared" si="3"/>
        <v>21.251666666666669</v>
      </c>
      <c r="K19" s="5">
        <f t="shared" si="8"/>
        <v>3.1221296296296295</v>
      </c>
      <c r="L19" s="5">
        <f t="shared" si="9"/>
        <v>318.2599010835504</v>
      </c>
      <c r="M19" s="5"/>
      <c r="N19" s="5"/>
      <c r="O19" s="5"/>
      <c r="P19" s="4"/>
      <c r="Q19" s="4"/>
      <c r="R19" s="4"/>
      <c r="S19" s="4"/>
      <c r="T19" s="4"/>
    </row>
    <row r="20" spans="1:20" x14ac:dyDescent="0.2">
      <c r="A20" s="5">
        <v>19</v>
      </c>
      <c r="B20" s="5">
        <f t="shared" si="0"/>
        <v>0.30442982456140355</v>
      </c>
      <c r="C20" s="5">
        <f t="shared" si="1"/>
        <v>1.1149561403508772</v>
      </c>
      <c r="D20" s="5">
        <f t="shared" si="4"/>
        <v>0.30442982456140355</v>
      </c>
      <c r="E20" s="5">
        <f t="shared" si="5"/>
        <v>0.30442982456140355</v>
      </c>
      <c r="F20" s="5">
        <f t="shared" si="6"/>
        <v>31.032601892090064</v>
      </c>
      <c r="G20" s="5">
        <f t="shared" si="7"/>
        <v>589.61943594971126</v>
      </c>
      <c r="H20" s="5"/>
      <c r="I20" s="5">
        <f t="shared" si="2"/>
        <v>2.8920833333333333</v>
      </c>
      <c r="J20" s="5">
        <f t="shared" si="3"/>
        <v>21.18416666666667</v>
      </c>
      <c r="K20" s="5">
        <f t="shared" si="8"/>
        <v>2.8920833333333333</v>
      </c>
      <c r="L20" s="5">
        <f t="shared" si="9"/>
        <v>294.80971797485557</v>
      </c>
      <c r="M20" s="5"/>
      <c r="N20" s="5"/>
      <c r="O20" s="5"/>
      <c r="P20" s="4"/>
      <c r="Q20" s="4"/>
      <c r="R20" s="4"/>
      <c r="S20" s="4"/>
      <c r="T20" s="4"/>
    </row>
    <row r="21" spans="1:20" x14ac:dyDescent="0.2">
      <c r="A21" s="5">
        <v>20</v>
      </c>
      <c r="B21" s="5">
        <f t="shared" si="0"/>
        <v>0.26816666666666672</v>
      </c>
      <c r="C21" s="5">
        <f t="shared" si="1"/>
        <v>1.0558333333333334</v>
      </c>
      <c r="D21" s="5">
        <f t="shared" si="4"/>
        <v>0.26816666666666672</v>
      </c>
      <c r="E21" s="5">
        <f t="shared" si="5"/>
        <v>0.26816666666666672</v>
      </c>
      <c r="F21" s="5">
        <f t="shared" si="6"/>
        <v>27.336051647978259</v>
      </c>
      <c r="G21" s="5">
        <f t="shared" si="7"/>
        <v>546.72103295956515</v>
      </c>
      <c r="H21" s="5"/>
      <c r="I21" s="5">
        <f t="shared" si="2"/>
        <v>2.6816666666666666</v>
      </c>
      <c r="J21" s="5">
        <f t="shared" si="3"/>
        <v>21.116666666666671</v>
      </c>
      <c r="K21" s="5">
        <f t="shared" si="8"/>
        <v>2.6816666666666666</v>
      </c>
      <c r="L21" s="5">
        <f t="shared" si="9"/>
        <v>273.36051647978252</v>
      </c>
      <c r="M21" s="5"/>
      <c r="N21" s="5"/>
      <c r="O21" s="5"/>
      <c r="P21" s="4"/>
      <c r="Q21" s="4"/>
      <c r="R21" s="4"/>
      <c r="S21" s="4"/>
      <c r="T21" s="4"/>
    </row>
    <row r="22" spans="1:20" x14ac:dyDescent="0.2">
      <c r="A22" s="5">
        <v>21</v>
      </c>
      <c r="B22" s="5">
        <f t="shared" si="0"/>
        <v>0.23695956160241874</v>
      </c>
      <c r="C22" s="5">
        <f t="shared" si="1"/>
        <v>1.0023412698412699</v>
      </c>
      <c r="D22" s="5">
        <f t="shared" si="4"/>
        <v>0.23695956160241874</v>
      </c>
      <c r="E22" s="5">
        <f t="shared" si="5"/>
        <v>0.23695956160241874</v>
      </c>
      <c r="F22" s="5">
        <f t="shared" si="6"/>
        <v>24.154899245914244</v>
      </c>
      <c r="G22" s="5">
        <f t="shared" si="7"/>
        <v>507.25288416419914</v>
      </c>
      <c r="H22" s="5"/>
      <c r="I22" s="5">
        <f t="shared" si="2"/>
        <v>2.4880753968253968</v>
      </c>
      <c r="J22" s="5">
        <f t="shared" si="3"/>
        <v>21.049166666666668</v>
      </c>
      <c r="K22" s="5">
        <f t="shared" si="8"/>
        <v>2.4880753968253968</v>
      </c>
      <c r="L22" s="5">
        <f t="shared" si="9"/>
        <v>253.62644208209954</v>
      </c>
      <c r="M22" s="5"/>
      <c r="N22" s="5"/>
      <c r="O22" s="5"/>
      <c r="P22" s="4"/>
      <c r="Q22" s="4"/>
      <c r="R22" s="4"/>
      <c r="S22" s="4"/>
      <c r="T22" s="4"/>
    </row>
    <row r="23" spans="1:20" x14ac:dyDescent="0.2">
      <c r="A23" s="5">
        <v>22</v>
      </c>
      <c r="B23" s="5">
        <f t="shared" si="0"/>
        <v>0.20991046831955926</v>
      </c>
      <c r="C23" s="5">
        <f t="shared" si="1"/>
        <v>0.95371212121212123</v>
      </c>
      <c r="D23" s="5">
        <f t="shared" si="4"/>
        <v>0.20991046831955926</v>
      </c>
      <c r="E23" s="5">
        <f t="shared" si="5"/>
        <v>0.20991046831955926</v>
      </c>
      <c r="F23" s="5">
        <f t="shared" si="6"/>
        <v>21.397601255816436</v>
      </c>
      <c r="G23" s="5">
        <f t="shared" si="7"/>
        <v>470.74722762796159</v>
      </c>
      <c r="H23" s="5"/>
      <c r="I23" s="5">
        <f t="shared" si="2"/>
        <v>2.3090151515151516</v>
      </c>
      <c r="J23" s="5">
        <f t="shared" si="3"/>
        <v>20.981666666666669</v>
      </c>
      <c r="K23" s="5">
        <f t="shared" si="8"/>
        <v>2.3090151515151516</v>
      </c>
      <c r="L23" s="5">
        <f t="shared" si="9"/>
        <v>235.37361381398077</v>
      </c>
      <c r="M23" s="5"/>
      <c r="N23" s="5"/>
      <c r="O23" s="5"/>
      <c r="P23" s="4"/>
      <c r="Q23" s="4"/>
      <c r="R23" s="4"/>
      <c r="S23" s="4"/>
      <c r="T23" s="4"/>
    </row>
    <row r="24" spans="1:20" x14ac:dyDescent="0.2">
      <c r="A24" s="5">
        <v>23</v>
      </c>
      <c r="B24" s="5">
        <f t="shared" si="0"/>
        <v>0.18631222432262129</v>
      </c>
      <c r="C24" s="5">
        <f t="shared" si="1"/>
        <v>0.90931159420289864</v>
      </c>
      <c r="D24" s="5">
        <f t="shared" si="4"/>
        <v>0.18631222432262129</v>
      </c>
      <c r="E24" s="5">
        <f t="shared" si="5"/>
        <v>0.18631222432262129</v>
      </c>
      <c r="F24" s="5">
        <f t="shared" si="6"/>
        <v>18.992071796393606</v>
      </c>
      <c r="G24" s="5">
        <f t="shared" si="7"/>
        <v>436.81765131705293</v>
      </c>
      <c r="H24" s="5"/>
      <c r="I24" s="5">
        <f t="shared" si="2"/>
        <v>2.142590579710145</v>
      </c>
      <c r="J24" s="5">
        <f t="shared" si="3"/>
        <v>20.91416666666667</v>
      </c>
      <c r="K24" s="5">
        <f t="shared" si="8"/>
        <v>2.142590579710145</v>
      </c>
      <c r="L24" s="5">
        <f t="shared" si="9"/>
        <v>218.4088256585265</v>
      </c>
      <c r="M24" s="5"/>
      <c r="N24" s="5"/>
      <c r="O24" s="5"/>
      <c r="P24" s="4"/>
      <c r="Q24" s="4"/>
      <c r="R24" s="4"/>
      <c r="S24" s="4"/>
      <c r="T24" s="4"/>
    </row>
    <row r="25" spans="1:20" x14ac:dyDescent="0.2">
      <c r="A25" s="5">
        <v>24</v>
      </c>
      <c r="B25" s="5">
        <f t="shared" si="0"/>
        <v>0.16560185185185186</v>
      </c>
      <c r="C25" s="5">
        <f t="shared" si="1"/>
        <v>0.86861111111111111</v>
      </c>
      <c r="D25" s="5">
        <f t="shared" si="4"/>
        <v>0.16560185185185186</v>
      </c>
      <c r="E25" s="5">
        <f t="shared" si="5"/>
        <v>0.16560185185185186</v>
      </c>
      <c r="F25" s="5">
        <f t="shared" si="6"/>
        <v>16.88092271680447</v>
      </c>
      <c r="G25" s="5">
        <f t="shared" si="7"/>
        <v>405.14214520330728</v>
      </c>
      <c r="H25" s="5"/>
      <c r="I25" s="5">
        <f t="shared" si="2"/>
        <v>1.987222222222222</v>
      </c>
      <c r="J25" s="5">
        <f t="shared" si="3"/>
        <v>20.846666666666668</v>
      </c>
      <c r="K25" s="5">
        <f t="shared" si="8"/>
        <v>1.987222222222222</v>
      </c>
      <c r="L25" s="5">
        <f t="shared" si="9"/>
        <v>202.57107260165361</v>
      </c>
      <c r="M25" s="5"/>
      <c r="N25" s="5"/>
      <c r="O25" s="5"/>
      <c r="P25" s="4"/>
      <c r="Q25" s="4"/>
      <c r="R25" s="4"/>
      <c r="S25" s="4"/>
      <c r="T25" s="4"/>
    </row>
    <row r="26" spans="1:20" x14ac:dyDescent="0.2">
      <c r="A26" s="5">
        <v>25</v>
      </c>
      <c r="B26" s="5">
        <f t="shared" si="0"/>
        <v>0.14732666666666669</v>
      </c>
      <c r="C26" s="5">
        <f t="shared" si="1"/>
        <v>0.83116666666666672</v>
      </c>
      <c r="D26" s="5">
        <f t="shared" si="4"/>
        <v>0.14732666666666669</v>
      </c>
      <c r="E26" s="5">
        <f t="shared" si="5"/>
        <v>0.14732666666666669</v>
      </c>
      <c r="F26" s="5">
        <f t="shared" si="6"/>
        <v>15.018008834522599</v>
      </c>
      <c r="G26" s="5">
        <f t="shared" si="7"/>
        <v>375.45022086306494</v>
      </c>
      <c r="H26" s="5"/>
      <c r="I26" s="5">
        <f t="shared" si="2"/>
        <v>1.8415833333333333</v>
      </c>
      <c r="J26" s="5">
        <f t="shared" si="3"/>
        <v>20.779166666666669</v>
      </c>
      <c r="K26" s="5">
        <f t="shared" si="8"/>
        <v>1.8415833333333333</v>
      </c>
      <c r="L26" s="5">
        <f t="shared" si="9"/>
        <v>187.72511043153244</v>
      </c>
      <c r="M26" s="5"/>
      <c r="N26" s="5"/>
      <c r="O26" s="5"/>
      <c r="P26" s="4"/>
      <c r="Q26" s="4"/>
      <c r="R26" s="4"/>
      <c r="S26" s="4"/>
      <c r="T26" s="4"/>
    </row>
    <row r="27" spans="1:20" x14ac:dyDescent="0.2">
      <c r="A27" s="5">
        <v>26</v>
      </c>
      <c r="B27" s="5">
        <f t="shared" si="0"/>
        <v>0.13111932938856016</v>
      </c>
      <c r="C27" s="5">
        <f t="shared" si="1"/>
        <v>0.79660256410256414</v>
      </c>
      <c r="D27" s="5">
        <f t="shared" si="4"/>
        <v>0.13111932938856016</v>
      </c>
      <c r="E27" s="5">
        <f t="shared" si="5"/>
        <v>0.13111932938856016</v>
      </c>
      <c r="F27" s="5">
        <f t="shared" si="6"/>
        <v>13.3658847490887</v>
      </c>
      <c r="G27" s="5">
        <f t="shared" si="7"/>
        <v>347.51300347630621</v>
      </c>
      <c r="H27" s="5"/>
      <c r="I27" s="5">
        <f t="shared" si="2"/>
        <v>1.7045512820512818</v>
      </c>
      <c r="J27" s="5">
        <f t="shared" si="3"/>
        <v>20.71166666666667</v>
      </c>
      <c r="K27" s="5">
        <f t="shared" si="8"/>
        <v>1.7045512820512818</v>
      </c>
      <c r="L27" s="5">
        <f t="shared" si="9"/>
        <v>173.75650173815308</v>
      </c>
      <c r="M27" s="5"/>
      <c r="N27" s="5"/>
      <c r="O27" s="5"/>
      <c r="P27" s="4"/>
      <c r="Q27" s="4"/>
      <c r="R27" s="4"/>
      <c r="S27" s="4"/>
      <c r="T27" s="4"/>
    </row>
    <row r="28" spans="1:20" x14ac:dyDescent="0.2">
      <c r="A28" s="5">
        <v>27</v>
      </c>
      <c r="B28" s="5">
        <f t="shared" si="0"/>
        <v>0.11667924096936444</v>
      </c>
      <c r="C28" s="5">
        <f t="shared" si="1"/>
        <v>0.76459876543209881</v>
      </c>
      <c r="D28" s="5">
        <f t="shared" si="4"/>
        <v>0.11667924096936444</v>
      </c>
      <c r="E28" s="5">
        <f t="shared" si="5"/>
        <v>0.11667924096936444</v>
      </c>
      <c r="F28" s="5">
        <f t="shared" si="6"/>
        <v>11.893908355694641</v>
      </c>
      <c r="G28" s="5">
        <f t="shared" si="7"/>
        <v>321.1355256037553</v>
      </c>
      <c r="H28" s="5"/>
      <c r="I28" s="5">
        <f t="shared" si="2"/>
        <v>1.5751697530864197</v>
      </c>
      <c r="J28" s="5">
        <f t="shared" si="3"/>
        <v>20.644166666666667</v>
      </c>
      <c r="K28" s="5">
        <f t="shared" si="8"/>
        <v>1.5751697530864197</v>
      </c>
      <c r="L28" s="5">
        <f t="shared" si="9"/>
        <v>160.56776280187762</v>
      </c>
      <c r="M28" s="5"/>
      <c r="N28" s="5"/>
      <c r="O28" s="5"/>
      <c r="P28" s="4"/>
      <c r="Q28" s="4"/>
      <c r="R28" s="4"/>
      <c r="S28" s="4"/>
      <c r="T28" s="4"/>
    </row>
    <row r="29" spans="1:20" x14ac:dyDescent="0.2">
      <c r="A29" s="5">
        <v>28</v>
      </c>
      <c r="B29" s="5">
        <f t="shared" si="0"/>
        <v>0.10375850340136054</v>
      </c>
      <c r="C29" s="5">
        <f t="shared" si="1"/>
        <v>0.73488095238095241</v>
      </c>
      <c r="D29" s="5">
        <f t="shared" si="4"/>
        <v>0.10375850340136054</v>
      </c>
      <c r="E29" s="5">
        <f t="shared" si="5"/>
        <v>0.10375850340136054</v>
      </c>
      <c r="F29" s="5">
        <f t="shared" si="6"/>
        <v>10.576809724909332</v>
      </c>
      <c r="G29" s="5">
        <f t="shared" si="7"/>
        <v>296.15067229746126</v>
      </c>
      <c r="H29" s="5"/>
      <c r="I29" s="5">
        <f t="shared" si="2"/>
        <v>1.4526190476190475</v>
      </c>
      <c r="J29" s="5">
        <f t="shared" si="3"/>
        <v>20.576666666666668</v>
      </c>
      <c r="K29" s="5">
        <f t="shared" si="8"/>
        <v>1.4526190476190475</v>
      </c>
      <c r="L29" s="5">
        <f t="shared" si="9"/>
        <v>148.07533614873063</v>
      </c>
      <c r="M29" s="5"/>
      <c r="N29" s="5"/>
      <c r="O29" s="5"/>
      <c r="P29" s="4"/>
      <c r="Q29" s="4"/>
      <c r="R29" s="4"/>
      <c r="S29" s="4"/>
      <c r="T29" s="4"/>
    </row>
    <row r="30" spans="1:20" x14ac:dyDescent="0.2">
      <c r="A30" s="5">
        <v>29</v>
      </c>
      <c r="B30" s="5">
        <f t="shared" si="0"/>
        <v>9.2151208878319457E-2</v>
      </c>
      <c r="C30" s="5">
        <f t="shared" si="1"/>
        <v>0.70721264367816083</v>
      </c>
      <c r="D30" s="5">
        <f t="shared" si="4"/>
        <v>9.2151208878319457E-2</v>
      </c>
      <c r="E30" s="5">
        <f t="shared" si="5"/>
        <v>9.2151208878319457E-2</v>
      </c>
      <c r="F30" s="5">
        <f t="shared" si="6"/>
        <v>9.3935992740386798</v>
      </c>
      <c r="G30" s="5">
        <f t="shared" si="7"/>
        <v>272.41437894712169</v>
      </c>
      <c r="H30" s="5"/>
      <c r="I30" s="5">
        <f t="shared" si="2"/>
        <v>1.3361925287356322</v>
      </c>
      <c r="J30" s="5">
        <f t="shared" si="3"/>
        <v>20.509166666666669</v>
      </c>
      <c r="K30" s="5">
        <f t="shared" si="8"/>
        <v>1.3361925287356322</v>
      </c>
      <c r="L30" s="5">
        <f t="shared" si="9"/>
        <v>136.20718947356087</v>
      </c>
      <c r="M30" s="5"/>
      <c r="N30" s="5"/>
      <c r="O30" s="5"/>
      <c r="P30" s="4"/>
      <c r="Q30" s="4"/>
      <c r="R30" s="4"/>
      <c r="S30" s="4"/>
      <c r="T30" s="4"/>
    </row>
    <row r="31" spans="1:20" x14ac:dyDescent="0.2">
      <c r="A31" s="5">
        <v>30</v>
      </c>
      <c r="B31" s="5">
        <f t="shared" si="0"/>
        <v>8.1685185185185194E-2</v>
      </c>
      <c r="C31" s="5">
        <f t="shared" si="1"/>
        <v>0.68138888888888893</v>
      </c>
      <c r="D31" s="5">
        <f t="shared" si="4"/>
        <v>8.1685185185185194E-2</v>
      </c>
      <c r="E31" s="5">
        <f t="shared" si="5"/>
        <v>8.1685185185185194E-2</v>
      </c>
      <c r="F31" s="5">
        <f t="shared" si="6"/>
        <v>8.3267263185713762</v>
      </c>
      <c r="G31" s="5">
        <f t="shared" si="7"/>
        <v>249.80178955714129</v>
      </c>
      <c r="H31" s="5"/>
      <c r="I31" s="5">
        <f t="shared" si="2"/>
        <v>1.2252777777777779</v>
      </c>
      <c r="J31" s="5">
        <f t="shared" si="3"/>
        <v>20.441666666666666</v>
      </c>
      <c r="K31" s="5">
        <f t="shared" si="8"/>
        <v>1.2252777777777779</v>
      </c>
      <c r="L31" s="5">
        <f t="shared" si="9"/>
        <v>124.90089477857062</v>
      </c>
      <c r="M31" s="5"/>
      <c r="N31" s="5"/>
      <c r="O31" s="5"/>
      <c r="P31" s="4"/>
      <c r="Q31" s="4"/>
      <c r="R31" s="4"/>
      <c r="S31" s="4"/>
      <c r="T31" s="4"/>
    </row>
    <row r="32" spans="1:20" x14ac:dyDescent="0.2">
      <c r="A32" s="5">
        <v>31</v>
      </c>
      <c r="B32" s="5">
        <f t="shared" si="0"/>
        <v>7.2215574054804013E-2</v>
      </c>
      <c r="C32" s="5">
        <f t="shared" si="1"/>
        <v>0.65723118279569892</v>
      </c>
      <c r="D32" s="5">
        <f t="shared" si="4"/>
        <v>7.2215574054804013E-2</v>
      </c>
      <c r="E32" s="5">
        <f t="shared" si="5"/>
        <v>7.2215574054804013E-2</v>
      </c>
      <c r="F32" s="5">
        <f t="shared" si="6"/>
        <v>7.3614244704183491</v>
      </c>
      <c r="G32" s="5">
        <f t="shared" si="7"/>
        <v>228.20415858296883</v>
      </c>
      <c r="H32" s="5"/>
      <c r="I32" s="5">
        <f t="shared" si="2"/>
        <v>1.1193413978494624</v>
      </c>
      <c r="J32" s="5">
        <f t="shared" si="3"/>
        <v>20.374166666666667</v>
      </c>
      <c r="K32" s="5">
        <f t="shared" si="8"/>
        <v>1.1193413978494624</v>
      </c>
      <c r="L32" s="5">
        <f t="shared" si="9"/>
        <v>114.10207929148444</v>
      </c>
      <c r="M32" s="5"/>
      <c r="N32" s="5"/>
      <c r="O32" s="5"/>
      <c r="P32" s="4"/>
      <c r="Q32" s="4"/>
      <c r="R32" s="4"/>
      <c r="S32" s="4"/>
      <c r="T32" s="4"/>
    </row>
    <row r="33" spans="1:20" x14ac:dyDescent="0.2">
      <c r="A33" s="5">
        <v>32</v>
      </c>
      <c r="B33" s="5">
        <f t="shared" si="0"/>
        <v>6.3619791666666661E-2</v>
      </c>
      <c r="C33" s="5">
        <f t="shared" si="1"/>
        <v>0.63458333333333339</v>
      </c>
      <c r="D33" s="5">
        <f t="shared" si="4"/>
        <v>6.3619791666666661E-2</v>
      </c>
      <c r="E33" s="5">
        <f t="shared" si="5"/>
        <v>6.3619791666666661E-2</v>
      </c>
      <c r="F33" s="5">
        <f t="shared" si="6"/>
        <v>6.4851979272850828</v>
      </c>
      <c r="G33" s="5">
        <f t="shared" si="7"/>
        <v>207.52633367312265</v>
      </c>
      <c r="H33" s="5"/>
      <c r="I33" s="5">
        <f t="shared" si="2"/>
        <v>1.0179166666666666</v>
      </c>
      <c r="J33" s="5">
        <f t="shared" si="3"/>
        <v>20.306666666666668</v>
      </c>
      <c r="K33" s="5">
        <f t="shared" si="8"/>
        <v>1.0179166666666666</v>
      </c>
      <c r="L33" s="5">
        <f t="shared" si="9"/>
        <v>103.76316683656133</v>
      </c>
      <c r="M33" s="5"/>
      <c r="N33" s="5"/>
      <c r="O33" s="5"/>
      <c r="P33" s="4"/>
      <c r="Q33" s="4"/>
      <c r="R33" s="4"/>
      <c r="S33" s="4"/>
      <c r="T33" s="4"/>
    </row>
    <row r="34" spans="1:20" x14ac:dyDescent="0.2">
      <c r="A34" s="5">
        <v>33</v>
      </c>
      <c r="B34" s="5">
        <f t="shared" si="0"/>
        <v>5.5793541475359663E-2</v>
      </c>
      <c r="C34" s="5">
        <f t="shared" si="1"/>
        <v>0.61330808080808075</v>
      </c>
      <c r="D34" s="5">
        <f t="shared" si="4"/>
        <v>5.5793541475359663E-2</v>
      </c>
      <c r="E34" s="5">
        <f t="shared" si="5"/>
        <v>5.5793541475359663E-2</v>
      </c>
      <c r="F34" s="5">
        <f t="shared" si="6"/>
        <v>5.687415033166122</v>
      </c>
      <c r="G34" s="5">
        <f t="shared" si="7"/>
        <v>187.68469609448204</v>
      </c>
      <c r="H34" s="5"/>
      <c r="I34" s="5">
        <f t="shared" si="2"/>
        <v>0.92059343434343432</v>
      </c>
      <c r="J34" s="5">
        <f t="shared" si="3"/>
        <v>20.239166666666669</v>
      </c>
      <c r="K34" s="5">
        <f t="shared" si="8"/>
        <v>0.92059343434343432</v>
      </c>
      <c r="L34" s="5">
        <f t="shared" si="9"/>
        <v>93.842348047241003</v>
      </c>
      <c r="M34" s="5"/>
      <c r="N34" s="5"/>
      <c r="O34" s="5"/>
      <c r="P34" s="4"/>
      <c r="Q34" s="4"/>
      <c r="R34" s="4"/>
      <c r="S34" s="4"/>
      <c r="T34" s="4"/>
    </row>
    <row r="35" spans="1:20" x14ac:dyDescent="0.2">
      <c r="A35" s="5">
        <v>34</v>
      </c>
      <c r="B35" s="5">
        <f t="shared" si="0"/>
        <v>4.8647635524798151E-2</v>
      </c>
      <c r="C35" s="5">
        <f t="shared" si="1"/>
        <v>0.59328431372549018</v>
      </c>
      <c r="D35" s="5">
        <f t="shared" si="4"/>
        <v>4.8647635524798151E-2</v>
      </c>
      <c r="E35" s="5">
        <f t="shared" si="5"/>
        <v>4.8647635524798151E-2</v>
      </c>
      <c r="F35" s="5">
        <f t="shared" si="6"/>
        <v>4.9589842532923702</v>
      </c>
      <c r="G35" s="5">
        <f t="shared" si="7"/>
        <v>168.60546461194059</v>
      </c>
      <c r="H35" s="5"/>
      <c r="I35" s="5">
        <f t="shared" si="2"/>
        <v>0.82700980392156864</v>
      </c>
      <c r="J35" s="5">
        <f t="shared" si="3"/>
        <v>20.17166666666667</v>
      </c>
      <c r="K35" s="5">
        <f t="shared" si="8"/>
        <v>0.82700980392156864</v>
      </c>
      <c r="L35" s="5">
        <f t="shared" si="9"/>
        <v>84.302732305970295</v>
      </c>
      <c r="M35" s="5"/>
      <c r="N35" s="5"/>
      <c r="O35" s="5"/>
      <c r="P35" s="4"/>
      <c r="Q35" s="4"/>
      <c r="R35" s="4"/>
      <c r="S35" s="4"/>
      <c r="T35" s="4"/>
    </row>
    <row r="36" spans="1:20" x14ac:dyDescent="0.2">
      <c r="A36" s="5">
        <v>35</v>
      </c>
      <c r="B36" s="5">
        <f t="shared" si="0"/>
        <v>4.2105442176870754E-2</v>
      </c>
      <c r="C36" s="5">
        <f t="shared" si="1"/>
        <v>0.57440476190476197</v>
      </c>
      <c r="D36" s="5">
        <f t="shared" si="4"/>
        <v>4.2105442176870754E-2</v>
      </c>
      <c r="E36" s="5">
        <f>IF(D36&gt;0,D36,"")</f>
        <v>4.2105442176870754E-2</v>
      </c>
      <c r="F36" s="5">
        <f t="shared" si="6"/>
        <v>4.2920940037584865</v>
      </c>
      <c r="G36" s="5">
        <f t="shared" si="7"/>
        <v>150.22329013154703</v>
      </c>
      <c r="H36" s="5"/>
      <c r="I36" s="5">
        <f t="shared" si="2"/>
        <v>0.73684523809523805</v>
      </c>
      <c r="J36" s="5">
        <f t="shared" si="3"/>
        <v>20.104166666666668</v>
      </c>
      <c r="K36" s="5">
        <f t="shared" si="8"/>
        <v>0.73684523809523805</v>
      </c>
      <c r="L36" s="5">
        <f t="shared" si="9"/>
        <v>75.111645065773502</v>
      </c>
      <c r="M36" s="5"/>
      <c r="N36" s="5"/>
      <c r="O36" s="5"/>
      <c r="P36" s="4"/>
      <c r="Q36" s="4"/>
      <c r="R36" s="4"/>
      <c r="S36" s="4"/>
      <c r="T36" s="4"/>
    </row>
    <row r="37" spans="1:20" x14ac:dyDescent="0.2">
      <c r="A37" s="5">
        <v>36</v>
      </c>
      <c r="B37" s="5">
        <f t="shared" si="0"/>
        <v>3.6100823045267481E-2</v>
      </c>
      <c r="C37" s="5">
        <f t="shared" si="1"/>
        <v>0.55657407407407422</v>
      </c>
      <c r="D37" s="5">
        <f t="shared" si="4"/>
        <v>3.6100823045267481E-2</v>
      </c>
      <c r="E37" s="5">
        <f t="shared" si="5"/>
        <v>3.6100823045267481E-2</v>
      </c>
      <c r="F37" s="5">
        <f>E37/9.81*1000</f>
        <v>3.6800023491608029</v>
      </c>
      <c r="G37" s="5">
        <f t="shared" si="7"/>
        <v>132.48008456978891</v>
      </c>
      <c r="H37" s="5"/>
      <c r="I37" s="5">
        <f t="shared" si="2"/>
        <v>0.64981481481481485</v>
      </c>
      <c r="J37" s="5">
        <f t="shared" si="3"/>
        <v>20.036666666666669</v>
      </c>
      <c r="K37" s="5">
        <f t="shared" si="8"/>
        <v>0.64981481481481485</v>
      </c>
      <c r="L37" s="5">
        <f t="shared" si="9"/>
        <v>66.240042284894486</v>
      </c>
      <c r="M37" s="5"/>
      <c r="N37" s="5"/>
      <c r="O37" s="5"/>
      <c r="P37" s="4"/>
      <c r="Q37" s="4"/>
      <c r="R37" s="4"/>
      <c r="S37" s="4"/>
      <c r="T37" s="4"/>
    </row>
    <row r="38" spans="1:20" x14ac:dyDescent="0.2">
      <c r="A38" s="5">
        <v>37</v>
      </c>
      <c r="B38" s="5">
        <f t="shared" si="0"/>
        <v>3.0576454833211586E-2</v>
      </c>
      <c r="C38" s="5">
        <f t="shared" si="1"/>
        <v>0.53970720720720722</v>
      </c>
      <c r="D38" s="5">
        <f t="shared" si="4"/>
        <v>3.0576454833211586E-2</v>
      </c>
      <c r="E38" s="5">
        <f t="shared" si="5"/>
        <v>3.0576454833211586E-2</v>
      </c>
      <c r="F38" s="5">
        <f t="shared" si="6"/>
        <v>3.1168659361071951</v>
      </c>
      <c r="G38" s="5">
        <f t="shared" si="7"/>
        <v>115.32403963596622</v>
      </c>
      <c r="H38" s="5"/>
      <c r="I38" s="5">
        <f t="shared" si="2"/>
        <v>0.5656644144144144</v>
      </c>
      <c r="J38" s="5">
        <f t="shared" si="3"/>
        <v>19.96916666666667</v>
      </c>
      <c r="K38" s="5">
        <f t="shared" si="8"/>
        <v>0.5656644144144144</v>
      </c>
      <c r="L38" s="5">
        <f t="shared" si="9"/>
        <v>57.662019817983115</v>
      </c>
      <c r="M38" s="5"/>
      <c r="N38" s="5"/>
      <c r="O38" s="5"/>
      <c r="P38" s="4"/>
      <c r="Q38" s="4"/>
      <c r="R38" s="4"/>
      <c r="S38" s="4"/>
      <c r="T38" s="4"/>
    </row>
    <row r="39" spans="1:20" x14ac:dyDescent="0.2">
      <c r="A39" s="5">
        <v>38</v>
      </c>
      <c r="B39" s="5">
        <f t="shared" si="0"/>
        <v>2.5482456140350884E-2</v>
      </c>
      <c r="C39" s="5">
        <f t="shared" si="1"/>
        <v>0.52372807017543865</v>
      </c>
      <c r="D39" s="5">
        <f t="shared" si="4"/>
        <v>2.5482456140350884E-2</v>
      </c>
      <c r="E39" s="5">
        <f t="shared" si="5"/>
        <v>2.5482456140350884E-2</v>
      </c>
      <c r="F39" s="5">
        <f t="shared" si="6"/>
        <v>2.5976000143069196</v>
      </c>
      <c r="G39" s="5">
        <f t="shared" si="7"/>
        <v>98.708800543662946</v>
      </c>
      <c r="H39" s="5"/>
      <c r="I39" s="5">
        <f t="shared" si="2"/>
        <v>0.48416666666666663</v>
      </c>
      <c r="J39" s="5">
        <f t="shared" si="3"/>
        <v>19.901666666666667</v>
      </c>
      <c r="K39" s="5">
        <f t="shared" si="8"/>
        <v>0.48416666666666663</v>
      </c>
      <c r="L39" s="5">
        <f t="shared" si="9"/>
        <v>49.354400271831459</v>
      </c>
      <c r="M39" s="5"/>
      <c r="N39" s="5"/>
      <c r="O39" s="5"/>
      <c r="P39" s="4"/>
      <c r="Q39" s="4"/>
      <c r="R39" s="4"/>
      <c r="S39" s="4"/>
      <c r="T39" s="4"/>
    </row>
    <row r="40" spans="1:20" x14ac:dyDescent="0.2">
      <c r="A40" s="5">
        <v>39</v>
      </c>
      <c r="B40" s="5">
        <f t="shared" si="0"/>
        <v>2.0775257506026729E-2</v>
      </c>
      <c r="C40" s="5">
        <f t="shared" si="1"/>
        <v>0.50856837606837602</v>
      </c>
      <c r="D40" s="5">
        <f t="shared" si="4"/>
        <v>2.0775257506026729E-2</v>
      </c>
      <c r="E40" s="5">
        <f t="shared" si="5"/>
        <v>2.0775257506026729E-2</v>
      </c>
      <c r="F40" s="5">
        <f t="shared" si="6"/>
        <v>2.1177632523982393</v>
      </c>
      <c r="G40" s="5">
        <f t="shared" si="7"/>
        <v>82.592766843531336</v>
      </c>
      <c r="H40" s="5"/>
      <c r="I40" s="5">
        <f t="shared" si="2"/>
        <v>0.40511752136752144</v>
      </c>
      <c r="J40" s="5">
        <f t="shared" si="3"/>
        <v>19.834166666666668</v>
      </c>
      <c r="K40" s="5">
        <f t="shared" si="8"/>
        <v>0.40511752136752144</v>
      </c>
      <c r="L40" s="5">
        <f t="shared" si="9"/>
        <v>41.29638342176569</v>
      </c>
      <c r="M40" s="5"/>
      <c r="N40" s="5"/>
      <c r="O40" s="5"/>
      <c r="P40" s="4"/>
      <c r="Q40" s="4"/>
      <c r="R40" s="4"/>
      <c r="S40" s="4"/>
      <c r="T40" s="4"/>
    </row>
    <row r="41" spans="1:20" x14ac:dyDescent="0.2">
      <c r="A41" s="5">
        <v>40</v>
      </c>
      <c r="B41" s="5">
        <f t="shared" si="0"/>
        <v>1.6416666666666673E-2</v>
      </c>
      <c r="C41" s="5">
        <f t="shared" si="1"/>
        <v>0.49416666666666664</v>
      </c>
      <c r="D41" s="5">
        <f t="shared" si="4"/>
        <v>1.6416666666666673E-2</v>
      </c>
      <c r="E41" s="5">
        <f t="shared" si="5"/>
        <v>1.6416666666666673E-2</v>
      </c>
      <c r="F41" s="5">
        <f t="shared" si="6"/>
        <v>1.6734624532789677</v>
      </c>
      <c r="G41" s="5">
        <f t="shared" si="7"/>
        <v>66.93849813115871</v>
      </c>
      <c r="H41" s="5"/>
      <c r="I41" s="5">
        <f t="shared" si="2"/>
        <v>0.32833333333333337</v>
      </c>
      <c r="J41" s="5">
        <f t="shared" si="3"/>
        <v>19.766666666666669</v>
      </c>
      <c r="K41" s="5">
        <f t="shared" si="8"/>
        <v>0.32833333333333337</v>
      </c>
      <c r="L41" s="5">
        <f t="shared" si="9"/>
        <v>33.469249065579341</v>
      </c>
      <c r="M41" s="5"/>
      <c r="N41" s="5"/>
      <c r="O41" s="5"/>
      <c r="P41" s="4"/>
      <c r="Q41" s="4"/>
      <c r="R41" s="4"/>
      <c r="S41" s="4"/>
      <c r="T41" s="4"/>
    </row>
    <row r="42" spans="1:20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4"/>
      <c r="Q42" s="4"/>
      <c r="R42" s="4"/>
      <c r="S42" s="4"/>
      <c r="T42" s="4"/>
    </row>
    <row r="43" spans="1:20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4"/>
      <c r="Q43" s="4"/>
      <c r="R43" s="4"/>
      <c r="S43" s="4"/>
      <c r="T43" s="4"/>
    </row>
    <row r="44" spans="1:20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4"/>
      <c r="Q44" s="4"/>
      <c r="R44" s="4"/>
      <c r="S44" s="4"/>
      <c r="T44" s="4"/>
    </row>
    <row r="45" spans="1:20" x14ac:dyDescent="0.2">
      <c r="A45" s="5"/>
      <c r="B45" s="6" t="s">
        <v>55</v>
      </c>
      <c r="C45" s="5">
        <f>_M</f>
        <v>25.175000000000001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4"/>
      <c r="Q45" s="4"/>
      <c r="R45" s="4"/>
      <c r="S45" s="4"/>
      <c r="T45" s="4"/>
    </row>
    <row r="46" spans="1:20" x14ac:dyDescent="0.2">
      <c r="A46" s="5"/>
      <c r="B46" s="6" t="s">
        <v>57</v>
      </c>
      <c r="C46" s="5">
        <f>_V</f>
        <v>16.850000000000001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4"/>
      <c r="Q46" s="4"/>
      <c r="R46" s="4"/>
      <c r="S46" s="4"/>
      <c r="T46" s="4"/>
    </row>
    <row r="47" spans="1:20" x14ac:dyDescent="0.2">
      <c r="A47" s="5"/>
      <c r="B47" s="6" t="s">
        <v>56</v>
      </c>
      <c r="C47" s="5">
        <f>_g</f>
        <v>7.4999999999999997E-2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4"/>
      <c r="Q47" s="4"/>
      <c r="R47" s="4"/>
      <c r="S47" s="4"/>
      <c r="T47" s="4"/>
    </row>
    <row r="48" spans="1:20" ht="15.75" x14ac:dyDescent="0.3">
      <c r="A48" s="5"/>
      <c r="B48" s="7" t="s">
        <v>73</v>
      </c>
      <c r="C48" s="8">
        <v>1.35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4"/>
      <c r="Q48" s="4"/>
      <c r="R48" s="4"/>
      <c r="S48" s="4"/>
      <c r="T48" s="4"/>
    </row>
    <row r="49" spans="1:15" ht="15.75" x14ac:dyDescent="0.3">
      <c r="A49" s="5"/>
      <c r="B49" s="7" t="s">
        <v>73</v>
      </c>
      <c r="C49" s="8">
        <v>1.5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</sheetData>
  <sheetProtection password="DC49" sheet="1"/>
  <phoneticPr fontId="5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Tabelle3</vt:lpstr>
      <vt:lpstr>Tabelle1</vt:lpstr>
      <vt:lpstr>Tabelle2</vt:lpstr>
      <vt:lpstr>_g</vt:lpstr>
      <vt:lpstr>_M</vt:lpstr>
      <vt:lpstr>_V</vt:lpstr>
      <vt:lpstr>gf_g</vt:lpstr>
      <vt:lpstr>gf_p</vt:lpstr>
    </vt:vector>
  </TitlesOfParts>
  <Company>Expo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Lück</dc:creator>
  <cp:lastModifiedBy>Michael Lück</cp:lastModifiedBy>
  <cp:lastPrinted>2001-05-26T11:15:21Z</cp:lastPrinted>
  <dcterms:created xsi:type="dcterms:W3CDTF">1997-09-29T08:44:54Z</dcterms:created>
  <dcterms:modified xsi:type="dcterms:W3CDTF">2015-05-26T14:53:02Z</dcterms:modified>
</cp:coreProperties>
</file>